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20" firstSheet="30" activeTab="37"/>
  </bookViews>
  <sheets>
    <sheet name="Celtnieku 4" sheetId="1" r:id="rId1"/>
    <sheet name="Celtnieku 4A" sheetId="2" r:id="rId2"/>
    <sheet name="Jūras 2" sheetId="3" r:id="rId3"/>
    <sheet name="Jūras 5" sheetId="4" r:id="rId4"/>
    <sheet name="Jūras 7" sheetId="5" r:id="rId5"/>
    <sheet name="Kosmonautu 2" sheetId="6" r:id="rId6"/>
    <sheet name="Kosmonautu 5" sheetId="7" r:id="rId7"/>
    <sheet name="Kosmonautu 6" sheetId="8" r:id="rId8"/>
    <sheet name="Kosmonautu 7" sheetId="9" r:id="rId9"/>
    <sheet name="Kosmonautu 8" sheetId="10" r:id="rId10"/>
    <sheet name="Kosmonautu 9 " sheetId="11" r:id="rId11"/>
    <sheet name="Kosmonautu 10" sheetId="12" r:id="rId12"/>
    <sheet name="Kosmonautu 11" sheetId="13" r:id="rId13"/>
    <sheet name="Kosmonautu 13" sheetId="14" r:id="rId14"/>
    <sheet name="Kosmonautu 16" sheetId="15" r:id="rId15"/>
    <sheet name="Kosmonautu 20" sheetId="16" r:id="rId16"/>
    <sheet name="Miera 7" sheetId="17" r:id="rId17"/>
    <sheet name="Miera 12" sheetId="18" r:id="rId18"/>
    <sheet name="Plūdoņa 8" sheetId="19" r:id="rId19"/>
    <sheet name="Plūdoņa 10" sheetId="20" r:id="rId20"/>
    <sheet name="Selgas 3" sheetId="21" r:id="rId21"/>
    <sheet name="Selgas 8" sheetId="22" r:id="rId22"/>
    <sheet name="Selgas 16" sheetId="23" r:id="rId23"/>
    <sheet name="Selgas 31" sheetId="24" r:id="rId24"/>
    <sheet name="Strauta 3" sheetId="25" r:id="rId25"/>
    <sheet name="Strauta 6" sheetId="26" r:id="rId26"/>
    <sheet name="Strauta 8" sheetId="27" r:id="rId27"/>
    <sheet name="Strauta 17" sheetId="28" r:id="rId28"/>
    <sheet name="Strauta 1517a" sheetId="29" r:id="rId29"/>
    <sheet name="Talsu 12" sheetId="30" r:id="rId30"/>
    <sheet name="Torņa 5" sheetId="31" r:id="rId31"/>
    <sheet name="Zvejnieku 14" sheetId="32" r:id="rId32"/>
    <sheet name="Zvejnieku 16" sheetId="33" r:id="rId33"/>
    <sheet name="Zvejnieku 18" sheetId="34" r:id="rId34"/>
    <sheet name="Fabrikas māja 2" sheetId="35" r:id="rId35"/>
    <sheet name="Lakšas" sheetId="37" r:id="rId36"/>
    <sheet name="Šalkas" sheetId="38" r:id="rId37"/>
    <sheet name="Mežrozes" sheetId="39" r:id="rId38"/>
  </sheets>
  <calcPr calcId="145621"/>
</workbook>
</file>

<file path=xl/calcChain.xml><?xml version="1.0" encoding="utf-8"?>
<calcChain xmlns="http://schemas.openxmlformats.org/spreadsheetml/2006/main">
  <c r="L27" i="12" l="1"/>
  <c r="L26" i="12"/>
  <c r="L25" i="12"/>
  <c r="L24" i="12"/>
  <c r="L27" i="11"/>
  <c r="L26" i="11"/>
  <c r="L25" i="11"/>
  <c r="L24" i="11"/>
  <c r="L27" i="10"/>
  <c r="L25" i="10"/>
  <c r="L26" i="10"/>
  <c r="L24" i="10"/>
  <c r="L27" i="8"/>
  <c r="L26" i="8"/>
  <c r="L25" i="8"/>
  <c r="L24" i="8"/>
  <c r="L27" i="7"/>
  <c r="L26" i="7"/>
  <c r="L25" i="7"/>
  <c r="L24" i="7"/>
  <c r="L27" i="6"/>
  <c r="L26" i="6"/>
  <c r="L25" i="6"/>
  <c r="L24" i="6"/>
  <c r="L26" i="3"/>
  <c r="L25" i="3"/>
  <c r="L27" i="2"/>
  <c r="L26" i="2"/>
  <c r="L25" i="2"/>
  <c r="L24" i="2"/>
  <c r="L27" i="1"/>
  <c r="L26" i="1"/>
  <c r="L25" i="1"/>
  <c r="L24" i="1"/>
  <c r="L27" i="13"/>
  <c r="L26" i="13"/>
  <c r="L25" i="13"/>
  <c r="L24" i="13"/>
  <c r="L27" i="14"/>
  <c r="L26" i="14"/>
  <c r="L25" i="14"/>
  <c r="L24" i="14"/>
  <c r="L27" i="15"/>
  <c r="L26" i="15"/>
  <c r="L25" i="15"/>
  <c r="L24" i="15"/>
  <c r="L27" i="16"/>
  <c r="L26" i="16"/>
  <c r="L25" i="16"/>
  <c r="L24" i="16"/>
  <c r="L26" i="17"/>
  <c r="L25" i="17"/>
  <c r="L27" i="18"/>
  <c r="L26" i="18"/>
  <c r="L25" i="18"/>
  <c r="L27" i="19"/>
  <c r="L26" i="19"/>
  <c r="L25" i="19"/>
  <c r="L24" i="19"/>
  <c r="L24" i="20"/>
  <c r="L27" i="20"/>
  <c r="L26" i="20"/>
  <c r="L25" i="20"/>
  <c r="L27" i="23"/>
  <c r="L26" i="23"/>
  <c r="L25" i="23"/>
  <c r="L24" i="23"/>
  <c r="L26" i="24"/>
  <c r="L27" i="24"/>
  <c r="L25" i="24"/>
  <c r="L24" i="24"/>
  <c r="L27" i="25"/>
  <c r="L26" i="25"/>
  <c r="L25" i="25"/>
  <c r="L24" i="25"/>
  <c r="L27" i="26"/>
  <c r="L26" i="26"/>
  <c r="L25" i="26"/>
  <c r="L24" i="26"/>
  <c r="L27" i="27"/>
  <c r="L26" i="27"/>
  <c r="L25" i="27"/>
  <c r="L24" i="27"/>
  <c r="L27" i="28"/>
  <c r="L26" i="28"/>
  <c r="L25" i="28"/>
  <c r="L26" i="29"/>
  <c r="L27" i="29"/>
  <c r="L25" i="29"/>
  <c r="L24" i="29"/>
  <c r="L27" i="31"/>
  <c r="L26" i="31"/>
  <c r="L25" i="31"/>
  <c r="L24" i="31"/>
  <c r="L27" i="32"/>
  <c r="L26" i="32"/>
  <c r="L25" i="32"/>
  <c r="L24" i="32"/>
  <c r="L51" i="32"/>
  <c r="L50" i="32"/>
  <c r="L49" i="32"/>
  <c r="L47" i="32"/>
  <c r="L46" i="32"/>
  <c r="L45" i="32"/>
  <c r="L44" i="32"/>
  <c r="L41" i="32"/>
  <c r="L37" i="32"/>
  <c r="L34" i="32"/>
  <c r="L32" i="32"/>
  <c r="L31" i="32"/>
  <c r="L27" i="33"/>
  <c r="L26" i="33"/>
  <c r="L25" i="33"/>
  <c r="L24" i="33"/>
  <c r="L27" i="34"/>
  <c r="L26" i="34"/>
  <c r="L25" i="34"/>
  <c r="L24" i="34"/>
  <c r="L31" i="38"/>
  <c r="L49" i="38"/>
  <c r="L47" i="38"/>
  <c r="L46" i="38"/>
  <c r="L45" i="38"/>
  <c r="L44" i="38"/>
  <c r="L41" i="38"/>
  <c r="L38" i="38"/>
  <c r="L37" i="38"/>
  <c r="L35" i="38"/>
  <c r="L34" i="38"/>
  <c r="L32" i="38"/>
  <c r="L49" i="39"/>
  <c r="L47" i="39"/>
  <c r="L46" i="39"/>
  <c r="L45" i="39"/>
  <c r="L44" i="39"/>
  <c r="L41" i="39"/>
  <c r="L38" i="39"/>
  <c r="L37" i="39"/>
  <c r="L35" i="39"/>
  <c r="L34" i="39"/>
  <c r="L32" i="39"/>
  <c r="L31" i="39"/>
  <c r="N31" i="39" l="1"/>
  <c r="N35" i="39"/>
  <c r="N38" i="39"/>
  <c r="N41" i="39"/>
  <c r="N47" i="39"/>
  <c r="N49" i="39"/>
  <c r="N46" i="39"/>
  <c r="N45" i="39"/>
  <c r="N44" i="39"/>
  <c r="J43" i="39"/>
  <c r="L43" i="39" s="1"/>
  <c r="N43" i="39" s="1"/>
  <c r="N37" i="39"/>
  <c r="N34" i="39"/>
  <c r="N32" i="39"/>
  <c r="J29" i="39"/>
  <c r="J50" i="39" l="1"/>
  <c r="L50" i="39" s="1"/>
  <c r="L29" i="39"/>
  <c r="N50" i="39"/>
  <c r="N29" i="39"/>
  <c r="J29" i="38"/>
  <c r="L29" i="38" s="1"/>
  <c r="N38" i="38"/>
  <c r="N35" i="38"/>
  <c r="N32" i="38"/>
  <c r="N49" i="38"/>
  <c r="N45" i="38"/>
  <c r="N44" i="38"/>
  <c r="N37" i="38"/>
  <c r="N34" i="38"/>
  <c r="N31" i="38"/>
  <c r="N47" i="38"/>
  <c r="N46" i="38"/>
  <c r="N43" i="38"/>
  <c r="J43" i="38"/>
  <c r="L43" i="38" s="1"/>
  <c r="N41" i="38"/>
  <c r="L41" i="37"/>
  <c r="L44" i="37"/>
  <c r="L45" i="37"/>
  <c r="L46" i="37"/>
  <c r="L47" i="37"/>
  <c r="L49" i="37"/>
  <c r="L50" i="37"/>
  <c r="L37" i="37"/>
  <c r="L29" i="37" s="1"/>
  <c r="L32" i="34"/>
  <c r="L34" i="34"/>
  <c r="L37" i="34"/>
  <c r="L38" i="34"/>
  <c r="L41" i="34"/>
  <c r="L44" i="34"/>
  <c r="L45" i="34"/>
  <c r="L46" i="34"/>
  <c r="L47" i="34"/>
  <c r="L49" i="34"/>
  <c r="L50" i="34"/>
  <c r="L51" i="34"/>
  <c r="L31" i="34"/>
  <c r="L32" i="33"/>
  <c r="L34" i="33"/>
  <c r="L35" i="33"/>
  <c r="L37" i="33"/>
  <c r="L38" i="33"/>
  <c r="L41" i="33"/>
  <c r="L44" i="33"/>
  <c r="L45" i="33"/>
  <c r="L46" i="33"/>
  <c r="L47" i="33"/>
  <c r="L49" i="33"/>
  <c r="L50" i="33"/>
  <c r="L51" i="33"/>
  <c r="L31" i="33"/>
  <c r="L32" i="31"/>
  <c r="L34" i="31"/>
  <c r="L35" i="31"/>
  <c r="L37" i="31"/>
  <c r="L38" i="31"/>
  <c r="L41" i="31"/>
  <c r="L44" i="31"/>
  <c r="L45" i="31"/>
  <c r="L46" i="31"/>
  <c r="L47" i="31"/>
  <c r="L49" i="31"/>
  <c r="L50" i="31"/>
  <c r="L51" i="31"/>
  <c r="L31" i="31"/>
  <c r="L32" i="29"/>
  <c r="L34" i="29"/>
  <c r="L35" i="29"/>
  <c r="L37" i="29"/>
  <c r="L38" i="29"/>
  <c r="L41" i="29"/>
  <c r="L44" i="29"/>
  <c r="L45" i="29"/>
  <c r="L46" i="29"/>
  <c r="L47" i="29"/>
  <c r="L49" i="29"/>
  <c r="L50" i="29"/>
  <c r="L51" i="29"/>
  <c r="L31" i="29"/>
  <c r="L32" i="26"/>
  <c r="L34" i="26"/>
  <c r="L37" i="26"/>
  <c r="L38" i="26"/>
  <c r="L41" i="26"/>
  <c r="L44" i="26"/>
  <c r="L45" i="26"/>
  <c r="L46" i="26"/>
  <c r="L47" i="26"/>
  <c r="L49" i="26"/>
  <c r="L50" i="26"/>
  <c r="L31" i="26"/>
  <c r="L32" i="18"/>
  <c r="L37" i="18"/>
  <c r="L38" i="18"/>
  <c r="L41" i="18"/>
  <c r="L44" i="18"/>
  <c r="L45" i="18"/>
  <c r="L46" i="18"/>
  <c r="L47" i="18"/>
  <c r="L48" i="18"/>
  <c r="L49" i="18"/>
  <c r="L50" i="18"/>
  <c r="L51" i="18"/>
  <c r="L31" i="18"/>
  <c r="L32" i="1"/>
  <c r="L34" i="1"/>
  <c r="L35" i="1"/>
  <c r="L37" i="1"/>
  <c r="L41" i="1"/>
  <c r="L44" i="1"/>
  <c r="L45" i="1"/>
  <c r="L46" i="1"/>
  <c r="L47" i="1"/>
  <c r="L48" i="1"/>
  <c r="L49" i="1"/>
  <c r="L50" i="1"/>
  <c r="L31" i="1"/>
  <c r="L41" i="23"/>
  <c r="N41" i="23" s="1"/>
  <c r="J29" i="23"/>
  <c r="N25" i="3"/>
  <c r="N26" i="3"/>
  <c r="L31" i="3"/>
  <c r="N31" i="3" s="1"/>
  <c r="L37" i="3"/>
  <c r="N37" i="3" s="1"/>
  <c r="L41" i="3"/>
  <c r="N41" i="3" s="1"/>
  <c r="L44" i="3"/>
  <c r="N44" i="3" s="1"/>
  <c r="L45" i="3"/>
  <c r="N45" i="3" s="1"/>
  <c r="L46" i="3"/>
  <c r="N46" i="3" s="1"/>
  <c r="L47" i="3"/>
  <c r="N47" i="3" s="1"/>
  <c r="L49" i="3"/>
  <c r="N49" i="3" s="1"/>
  <c r="L50" i="3"/>
  <c r="N50" i="3" s="1"/>
  <c r="L51" i="3"/>
  <c r="N51" i="3" s="1"/>
  <c r="J50" i="38" l="1"/>
  <c r="N29" i="38"/>
  <c r="N37" i="37"/>
  <c r="N41" i="37"/>
  <c r="N44" i="37"/>
  <c r="N45" i="37"/>
  <c r="N46" i="37"/>
  <c r="N47" i="37"/>
  <c r="N49" i="37"/>
  <c r="N50" i="37"/>
  <c r="N29" i="37"/>
  <c r="N24" i="33"/>
  <c r="N25" i="33"/>
  <c r="N26" i="33"/>
  <c r="N27" i="33"/>
  <c r="N31" i="33"/>
  <c r="N32" i="33"/>
  <c r="N34" i="33"/>
  <c r="N35" i="33"/>
  <c r="N37" i="33"/>
  <c r="N38" i="33"/>
  <c r="N41" i="33"/>
  <c r="N44" i="33"/>
  <c r="N45" i="33"/>
  <c r="N46" i="33"/>
  <c r="N47" i="33"/>
  <c r="N49" i="33"/>
  <c r="N51" i="33"/>
  <c r="L23" i="32"/>
  <c r="L23" i="31"/>
  <c r="L23" i="29"/>
  <c r="L23" i="27"/>
  <c r="L23" i="26"/>
  <c r="L23" i="25"/>
  <c r="N24" i="24"/>
  <c r="N25" i="24"/>
  <c r="N26" i="24"/>
  <c r="N27" i="24"/>
  <c r="L31" i="24"/>
  <c r="N31" i="24" s="1"/>
  <c r="L37" i="24"/>
  <c r="N37" i="24" s="1"/>
  <c r="L38" i="24"/>
  <c r="N38" i="24" s="1"/>
  <c r="L44" i="24"/>
  <c r="N44" i="24" s="1"/>
  <c r="L45" i="24"/>
  <c r="N45" i="24" s="1"/>
  <c r="L46" i="24"/>
  <c r="N46" i="24" s="1"/>
  <c r="L47" i="24"/>
  <c r="N47" i="24" s="1"/>
  <c r="L49" i="24"/>
  <c r="N49" i="24" s="1"/>
  <c r="L50" i="24"/>
  <c r="N50" i="24" s="1"/>
  <c r="L51" i="24"/>
  <c r="N51" i="24" s="1"/>
  <c r="L23" i="24"/>
  <c r="N23" i="24" s="1"/>
  <c r="N24" i="23"/>
  <c r="N25" i="23"/>
  <c r="N26" i="23"/>
  <c r="N27" i="23"/>
  <c r="L31" i="23"/>
  <c r="N31" i="23" s="1"/>
  <c r="L32" i="23"/>
  <c r="N32" i="23" s="1"/>
  <c r="L37" i="23"/>
  <c r="N37" i="23" s="1"/>
  <c r="L38" i="23"/>
  <c r="N38" i="23" s="1"/>
  <c r="L42" i="23"/>
  <c r="N42" i="23" s="1"/>
  <c r="L45" i="23"/>
  <c r="N45" i="23" s="1"/>
  <c r="L46" i="23"/>
  <c r="N46" i="23" s="1"/>
  <c r="L47" i="23"/>
  <c r="N47" i="23" s="1"/>
  <c r="L48" i="23"/>
  <c r="N48" i="23" s="1"/>
  <c r="L50" i="23"/>
  <c r="N50" i="23" s="1"/>
  <c r="L52" i="23"/>
  <c r="N52" i="23" s="1"/>
  <c r="L23" i="23"/>
  <c r="N23" i="23" s="1"/>
  <c r="L23" i="20"/>
  <c r="L23" i="19"/>
  <c r="L23" i="16"/>
  <c r="L23" i="15"/>
  <c r="L23" i="14"/>
  <c r="L23" i="13"/>
  <c r="N24" i="12"/>
  <c r="N25" i="12"/>
  <c r="N26" i="12"/>
  <c r="N27" i="12"/>
  <c r="L31" i="12"/>
  <c r="N31" i="12" s="1"/>
  <c r="L32" i="12"/>
  <c r="N32" i="12" s="1"/>
  <c r="L37" i="12"/>
  <c r="N37" i="12" s="1"/>
  <c r="L38" i="12"/>
  <c r="N38" i="12" s="1"/>
  <c r="L41" i="12"/>
  <c r="N41" i="12" s="1"/>
  <c r="L44" i="12"/>
  <c r="N44" i="12" s="1"/>
  <c r="L45" i="12"/>
  <c r="N45" i="12" s="1"/>
  <c r="L46" i="12"/>
  <c r="N46" i="12" s="1"/>
  <c r="L47" i="12"/>
  <c r="N47" i="12" s="1"/>
  <c r="L49" i="12"/>
  <c r="N49" i="12" s="1"/>
  <c r="L51" i="12"/>
  <c r="N51" i="12" s="1"/>
  <c r="L23" i="12"/>
  <c r="N23" i="12" s="1"/>
  <c r="L23" i="11"/>
  <c r="N24" i="10"/>
  <c r="N25" i="10"/>
  <c r="N26" i="10"/>
  <c r="N27" i="10"/>
  <c r="L50" i="38" l="1"/>
  <c r="N50" i="38" s="1"/>
  <c r="L31" i="10"/>
  <c r="N31" i="10" s="1"/>
  <c r="L32" i="10"/>
  <c r="N32" i="10" s="1"/>
  <c r="L37" i="10"/>
  <c r="N37" i="10" s="1"/>
  <c r="L38" i="10"/>
  <c r="N38" i="10" s="1"/>
  <c r="L41" i="10"/>
  <c r="N41" i="10" s="1"/>
  <c r="L44" i="10"/>
  <c r="N44" i="10" s="1"/>
  <c r="L45" i="10"/>
  <c r="N45" i="10" s="1"/>
  <c r="L46" i="10"/>
  <c r="N46" i="10" s="1"/>
  <c r="L47" i="10"/>
  <c r="N47" i="10" s="1"/>
  <c r="L49" i="10"/>
  <c r="N49" i="10" s="1"/>
  <c r="L50" i="10"/>
  <c r="N50" i="10" s="1"/>
  <c r="L51" i="10"/>
  <c r="N51" i="10" s="1"/>
  <c r="L50" i="2"/>
  <c r="N25" i="22" l="1"/>
  <c r="N27" i="22"/>
  <c r="N23" i="22"/>
  <c r="L31" i="22"/>
  <c r="N31" i="22" s="1"/>
  <c r="L37" i="22"/>
  <c r="N37" i="22" s="1"/>
  <c r="L41" i="22"/>
  <c r="N41" i="22" s="1"/>
  <c r="L44" i="22"/>
  <c r="N44" i="22" s="1"/>
  <c r="L45" i="22"/>
  <c r="N45" i="22" s="1"/>
  <c r="L46" i="22"/>
  <c r="N46" i="22" s="1"/>
  <c r="L47" i="22"/>
  <c r="N47" i="22" s="1"/>
  <c r="L49" i="22"/>
  <c r="N49" i="22" s="1"/>
  <c r="L51" i="22"/>
  <c r="N51" i="22" s="1"/>
  <c r="J29" i="22"/>
  <c r="L29" i="22" s="1"/>
  <c r="N29" i="22" s="1"/>
  <c r="J23" i="22"/>
  <c r="J43" i="22"/>
  <c r="L43" i="22" s="1"/>
  <c r="N43" i="22" s="1"/>
  <c r="J29" i="37"/>
  <c r="N37" i="35"/>
  <c r="L25" i="35"/>
  <c r="N25" i="35" s="1"/>
  <c r="L31" i="35"/>
  <c r="N31" i="35" s="1"/>
  <c r="L32" i="35"/>
  <c r="N32" i="35" s="1"/>
  <c r="L37" i="35"/>
  <c r="L41" i="35"/>
  <c r="N41" i="35" s="1"/>
  <c r="L44" i="35"/>
  <c r="N44" i="35" s="1"/>
  <c r="L45" i="35"/>
  <c r="N45" i="35" s="1"/>
  <c r="L46" i="35"/>
  <c r="N46" i="35" s="1"/>
  <c r="L47" i="35"/>
  <c r="N47" i="35" s="1"/>
  <c r="L49" i="35"/>
  <c r="N49" i="35" s="1"/>
  <c r="L50" i="35"/>
  <c r="N50" i="35" s="1"/>
  <c r="J29" i="35"/>
  <c r="L29" i="35" s="1"/>
  <c r="N29" i="35" s="1"/>
  <c r="N24" i="16"/>
  <c r="N25" i="16"/>
  <c r="N26" i="16"/>
  <c r="N27" i="16"/>
  <c r="N23" i="16"/>
  <c r="L31" i="16"/>
  <c r="N31" i="16" s="1"/>
  <c r="L32" i="16"/>
  <c r="N32" i="16" s="1"/>
  <c r="L34" i="16"/>
  <c r="N34" i="16" s="1"/>
  <c r="L35" i="16"/>
  <c r="N35" i="16" s="1"/>
  <c r="L37" i="16"/>
  <c r="N37" i="16" s="1"/>
  <c r="L38" i="16"/>
  <c r="N38" i="16" s="1"/>
  <c r="L41" i="16"/>
  <c r="N41" i="16" s="1"/>
  <c r="L44" i="16"/>
  <c r="N44" i="16" s="1"/>
  <c r="L45" i="16"/>
  <c r="N45" i="16" s="1"/>
  <c r="L46" i="16"/>
  <c r="N46" i="16" s="1"/>
  <c r="L47" i="16"/>
  <c r="N47" i="16" s="1"/>
  <c r="L49" i="16"/>
  <c r="N49" i="16" s="1"/>
  <c r="L51" i="16"/>
  <c r="N51" i="16" s="1"/>
  <c r="L50" i="22" l="1"/>
  <c r="N50" i="22" s="1"/>
  <c r="N24" i="34"/>
  <c r="N25" i="34"/>
  <c r="N26" i="34"/>
  <c r="N27" i="34"/>
  <c r="N31" i="34"/>
  <c r="N32" i="34"/>
  <c r="N34" i="34"/>
  <c r="N37" i="34"/>
  <c r="N38" i="34"/>
  <c r="N44" i="34"/>
  <c r="N45" i="34"/>
  <c r="N46" i="34"/>
  <c r="N47" i="34"/>
  <c r="N49" i="34"/>
  <c r="N51" i="34"/>
  <c r="N41" i="34"/>
  <c r="J29" i="34"/>
  <c r="L29" i="34" l="1"/>
  <c r="N29" i="34" s="1"/>
  <c r="N24" i="32"/>
  <c r="N25" i="32"/>
  <c r="N26" i="32"/>
  <c r="N27" i="32"/>
  <c r="N31" i="32"/>
  <c r="N32" i="32"/>
  <c r="N34" i="32"/>
  <c r="N37" i="32"/>
  <c r="N44" i="32"/>
  <c r="N45" i="32"/>
  <c r="N46" i="32"/>
  <c r="N47" i="32"/>
  <c r="N49" i="32"/>
  <c r="N51" i="32"/>
  <c r="N23" i="32"/>
  <c r="N41" i="32"/>
  <c r="N24" i="31" l="1"/>
  <c r="N25" i="31"/>
  <c r="N26" i="31"/>
  <c r="N27" i="31"/>
  <c r="N31" i="31"/>
  <c r="N32" i="31"/>
  <c r="N34" i="31"/>
  <c r="N35" i="31"/>
  <c r="N37" i="31"/>
  <c r="N38" i="31"/>
  <c r="N44" i="31"/>
  <c r="N45" i="31"/>
  <c r="N46" i="31"/>
  <c r="N47" i="31"/>
  <c r="N49" i="31"/>
  <c r="N51" i="31"/>
  <c r="N23" i="31"/>
  <c r="N41" i="31"/>
  <c r="N47" i="30"/>
  <c r="L31" i="30"/>
  <c r="N31" i="30" s="1"/>
  <c r="L37" i="30"/>
  <c r="N37" i="30" s="1"/>
  <c r="L41" i="30"/>
  <c r="N41" i="30" s="1"/>
  <c r="L44" i="30"/>
  <c r="N44" i="30" s="1"/>
  <c r="L45" i="30"/>
  <c r="N45" i="30" s="1"/>
  <c r="L46" i="30"/>
  <c r="N46" i="30" s="1"/>
  <c r="L47" i="30"/>
  <c r="L49" i="30"/>
  <c r="N49" i="30" s="1"/>
  <c r="L50" i="30"/>
  <c r="N50" i="30" s="1"/>
  <c r="L51" i="30"/>
  <c r="N51" i="30" s="1"/>
  <c r="L25" i="30"/>
  <c r="N25" i="30" s="1"/>
  <c r="L26" i="30"/>
  <c r="N26" i="30" s="1"/>
  <c r="N24" i="29"/>
  <c r="N25" i="29"/>
  <c r="N26" i="29"/>
  <c r="N27" i="29"/>
  <c r="N31" i="29"/>
  <c r="N32" i="29"/>
  <c r="N34" i="29"/>
  <c r="N35" i="29"/>
  <c r="N37" i="29"/>
  <c r="N38" i="29"/>
  <c r="N41" i="29"/>
  <c r="N44" i="29"/>
  <c r="N45" i="29"/>
  <c r="N46" i="29"/>
  <c r="N47" i="29"/>
  <c r="N49" i="29"/>
  <c r="N51" i="29"/>
  <c r="N23" i="29"/>
  <c r="N25" i="28"/>
  <c r="N26" i="28"/>
  <c r="N27" i="28"/>
  <c r="L31" i="28"/>
  <c r="N31" i="28" s="1"/>
  <c r="L32" i="28"/>
  <c r="N32" i="28" s="1"/>
  <c r="L37" i="28"/>
  <c r="N37" i="28" s="1"/>
  <c r="L38" i="28"/>
  <c r="N38" i="28" s="1"/>
  <c r="L41" i="28"/>
  <c r="N41" i="28" s="1"/>
  <c r="L44" i="28"/>
  <c r="N44" i="28" s="1"/>
  <c r="L45" i="28"/>
  <c r="N45" i="28" s="1"/>
  <c r="L46" i="28"/>
  <c r="N46" i="28" s="1"/>
  <c r="L47" i="28"/>
  <c r="N47" i="28" s="1"/>
  <c r="L49" i="28"/>
  <c r="N49" i="28" s="1"/>
  <c r="L50" i="28"/>
  <c r="N50" i="28" s="1"/>
  <c r="L51" i="28"/>
  <c r="N51" i="28" s="1"/>
  <c r="N24" i="27"/>
  <c r="N25" i="27"/>
  <c r="N26" i="27"/>
  <c r="N27" i="27"/>
  <c r="N23" i="27"/>
  <c r="L31" i="27"/>
  <c r="N31" i="27" s="1"/>
  <c r="L32" i="27"/>
  <c r="N32" i="27" s="1"/>
  <c r="L34" i="27"/>
  <c r="N34" i="27" s="1"/>
  <c r="L35" i="27"/>
  <c r="N35" i="27" s="1"/>
  <c r="L37" i="27"/>
  <c r="N37" i="27" s="1"/>
  <c r="L38" i="27"/>
  <c r="N38" i="27" s="1"/>
  <c r="L41" i="27"/>
  <c r="N41" i="27" s="1"/>
  <c r="L44" i="27"/>
  <c r="N44" i="27" s="1"/>
  <c r="L45" i="27"/>
  <c r="N45" i="27" s="1"/>
  <c r="L46" i="27"/>
  <c r="N46" i="27" s="1"/>
  <c r="L47" i="27"/>
  <c r="N47" i="27" s="1"/>
  <c r="L49" i="27"/>
  <c r="N49" i="27" s="1"/>
  <c r="L51" i="27"/>
  <c r="N51" i="27" s="1"/>
  <c r="N24" i="26"/>
  <c r="N25" i="26"/>
  <c r="N26" i="26"/>
  <c r="N27" i="26"/>
  <c r="N31" i="26"/>
  <c r="N32" i="26"/>
  <c r="N34" i="26"/>
  <c r="N37" i="26"/>
  <c r="N38" i="26"/>
  <c r="N44" i="26"/>
  <c r="N45" i="26"/>
  <c r="N46" i="26"/>
  <c r="N47" i="26"/>
  <c r="N49" i="26"/>
  <c r="N23" i="26"/>
  <c r="N41" i="26"/>
  <c r="N24" i="25" l="1"/>
  <c r="N25" i="25"/>
  <c r="N26" i="25"/>
  <c r="N27" i="25"/>
  <c r="N23" i="25"/>
  <c r="L31" i="25"/>
  <c r="N31" i="25" s="1"/>
  <c r="L32" i="25"/>
  <c r="N32" i="25" s="1"/>
  <c r="L34" i="25"/>
  <c r="N34" i="25" s="1"/>
  <c r="L35" i="25"/>
  <c r="N35" i="25" s="1"/>
  <c r="L37" i="25"/>
  <c r="N37" i="25" s="1"/>
  <c r="L38" i="25"/>
  <c r="N38" i="25" s="1"/>
  <c r="L41" i="25"/>
  <c r="N41" i="25" s="1"/>
  <c r="L44" i="25"/>
  <c r="N44" i="25" s="1"/>
  <c r="L45" i="25"/>
  <c r="N45" i="25" s="1"/>
  <c r="L46" i="25"/>
  <c r="N46" i="25" s="1"/>
  <c r="L47" i="25"/>
  <c r="N47" i="25" s="1"/>
  <c r="L49" i="25"/>
  <c r="N49" i="25" s="1"/>
  <c r="L51" i="25"/>
  <c r="N51" i="25" s="1"/>
  <c r="L29" i="23" l="1"/>
  <c r="N29" i="23" s="1"/>
  <c r="L25" i="21" l="1"/>
  <c r="N25" i="21" s="1"/>
  <c r="L26" i="21"/>
  <c r="N26" i="21" s="1"/>
  <c r="L31" i="21"/>
  <c r="N31" i="21" s="1"/>
  <c r="L32" i="21"/>
  <c r="N32" i="21" s="1"/>
  <c r="L37" i="21"/>
  <c r="N37" i="21" s="1"/>
  <c r="L38" i="21"/>
  <c r="N38" i="21" s="1"/>
  <c r="L41" i="21"/>
  <c r="N41" i="21" s="1"/>
  <c r="L44" i="21"/>
  <c r="N44" i="21" s="1"/>
  <c r="L45" i="21"/>
  <c r="N45" i="21" s="1"/>
  <c r="L46" i="21"/>
  <c r="N46" i="21" s="1"/>
  <c r="L47" i="21"/>
  <c r="N47" i="21" s="1"/>
  <c r="L49" i="21"/>
  <c r="N49" i="21" s="1"/>
  <c r="L50" i="21"/>
  <c r="N50" i="21" s="1"/>
  <c r="N24" i="20" l="1"/>
  <c r="N25" i="20"/>
  <c r="N26" i="20"/>
  <c r="N27" i="20"/>
  <c r="N23" i="20"/>
  <c r="L31" i="20"/>
  <c r="N31" i="20" s="1"/>
  <c r="L32" i="20"/>
  <c r="N32" i="20" s="1"/>
  <c r="L34" i="20"/>
  <c r="N34" i="20" s="1"/>
  <c r="L35" i="20"/>
  <c r="N35" i="20" s="1"/>
  <c r="L37" i="20"/>
  <c r="N37" i="20" s="1"/>
  <c r="L38" i="20"/>
  <c r="N38" i="20" s="1"/>
  <c r="L41" i="20"/>
  <c r="N41" i="20" s="1"/>
  <c r="L44" i="20"/>
  <c r="N44" i="20" s="1"/>
  <c r="L45" i="20"/>
  <c r="N45" i="20" s="1"/>
  <c r="L46" i="20"/>
  <c r="N46" i="20" s="1"/>
  <c r="L47" i="20"/>
  <c r="N47" i="20" s="1"/>
  <c r="L49" i="20"/>
  <c r="N49" i="20" s="1"/>
  <c r="L51" i="20"/>
  <c r="N51" i="20" s="1"/>
  <c r="N24" i="19" l="1"/>
  <c r="N25" i="19"/>
  <c r="N26" i="19"/>
  <c r="N27" i="19"/>
  <c r="N23" i="19"/>
  <c r="L31" i="19"/>
  <c r="N31" i="19" s="1"/>
  <c r="L32" i="19"/>
  <c r="N32" i="19" s="1"/>
  <c r="L34" i="19"/>
  <c r="N34" i="19" s="1"/>
  <c r="L35" i="19"/>
  <c r="N35" i="19" s="1"/>
  <c r="L37" i="19"/>
  <c r="N37" i="19" s="1"/>
  <c r="L38" i="19"/>
  <c r="N38" i="19" s="1"/>
  <c r="L41" i="19"/>
  <c r="N41" i="19" s="1"/>
  <c r="L44" i="19"/>
  <c r="N44" i="19" s="1"/>
  <c r="L45" i="19"/>
  <c r="N45" i="19" s="1"/>
  <c r="L46" i="19"/>
  <c r="N46" i="19" s="1"/>
  <c r="L47" i="19"/>
  <c r="N47" i="19" s="1"/>
  <c r="L49" i="19"/>
  <c r="N49" i="19" s="1"/>
  <c r="L51" i="19"/>
  <c r="N51" i="19" s="1"/>
  <c r="N25" i="18"/>
  <c r="N26" i="18"/>
  <c r="N27" i="18"/>
  <c r="N31" i="18"/>
  <c r="N32" i="18"/>
  <c r="N37" i="18"/>
  <c r="N38" i="18"/>
  <c r="N41" i="18"/>
  <c r="N44" i="18"/>
  <c r="N45" i="18"/>
  <c r="N46" i="18"/>
  <c r="N47" i="18"/>
  <c r="N49" i="18"/>
  <c r="N51" i="18"/>
  <c r="N50" i="18"/>
  <c r="N25" i="17"/>
  <c r="N26" i="17"/>
  <c r="L31" i="17"/>
  <c r="N31" i="17" s="1"/>
  <c r="L32" i="17"/>
  <c r="N32" i="17" s="1"/>
  <c r="L37" i="17"/>
  <c r="N37" i="17" s="1"/>
  <c r="L38" i="17"/>
  <c r="N38" i="17" s="1"/>
  <c r="L41" i="17"/>
  <c r="N41" i="17" s="1"/>
  <c r="L44" i="17"/>
  <c r="N44" i="17" s="1"/>
  <c r="L45" i="17"/>
  <c r="N45" i="17" s="1"/>
  <c r="L46" i="17"/>
  <c r="N46" i="17" s="1"/>
  <c r="L47" i="17"/>
  <c r="N47" i="17" s="1"/>
  <c r="L49" i="17"/>
  <c r="N49" i="17" s="1"/>
  <c r="L50" i="17"/>
  <c r="N50" i="17" s="1"/>
  <c r="L51" i="17"/>
  <c r="N51" i="17" s="1"/>
  <c r="J29" i="17"/>
  <c r="L29" i="17" s="1"/>
  <c r="N29" i="17" s="1"/>
  <c r="N24" i="15"/>
  <c r="N25" i="15"/>
  <c r="N26" i="15"/>
  <c r="N27" i="15"/>
  <c r="N23" i="15"/>
  <c r="L31" i="15"/>
  <c r="N31" i="15" s="1"/>
  <c r="L32" i="15"/>
  <c r="N32" i="15" s="1"/>
  <c r="L34" i="15"/>
  <c r="N34" i="15" s="1"/>
  <c r="L35" i="15"/>
  <c r="N35" i="15" s="1"/>
  <c r="L37" i="15"/>
  <c r="N37" i="15" s="1"/>
  <c r="L38" i="15"/>
  <c r="N38" i="15" s="1"/>
  <c r="L41" i="15"/>
  <c r="N41" i="15" s="1"/>
  <c r="L44" i="15"/>
  <c r="N44" i="15" s="1"/>
  <c r="L45" i="15"/>
  <c r="N45" i="15" s="1"/>
  <c r="L46" i="15"/>
  <c r="N46" i="15" s="1"/>
  <c r="L47" i="15"/>
  <c r="N47" i="15" s="1"/>
  <c r="L49" i="15"/>
  <c r="N49" i="15" s="1"/>
  <c r="L51" i="15"/>
  <c r="N51" i="15" s="1"/>
  <c r="N24" i="14" l="1"/>
  <c r="N25" i="14"/>
  <c r="N26" i="14"/>
  <c r="N27" i="14"/>
  <c r="N23" i="14"/>
  <c r="L31" i="14" l="1"/>
  <c r="N31" i="14" s="1"/>
  <c r="L32" i="14"/>
  <c r="N32" i="14" s="1"/>
  <c r="L34" i="14"/>
  <c r="N34" i="14" s="1"/>
  <c r="L35" i="14"/>
  <c r="N35" i="14" s="1"/>
  <c r="L37" i="14"/>
  <c r="N37" i="14" s="1"/>
  <c r="L38" i="14"/>
  <c r="N38" i="14" s="1"/>
  <c r="L41" i="14"/>
  <c r="N41" i="14" s="1"/>
  <c r="L44" i="14"/>
  <c r="N44" i="14" s="1"/>
  <c r="L45" i="14"/>
  <c r="N45" i="14" s="1"/>
  <c r="L46" i="14"/>
  <c r="N46" i="14" s="1"/>
  <c r="L47" i="14"/>
  <c r="N47" i="14" s="1"/>
  <c r="L49" i="14"/>
  <c r="N49" i="14" s="1"/>
  <c r="L51" i="14"/>
  <c r="N51" i="14" s="1"/>
  <c r="N24" i="13"/>
  <c r="N25" i="13"/>
  <c r="N26" i="13"/>
  <c r="N27" i="13"/>
  <c r="N23" i="13"/>
  <c r="L31" i="13"/>
  <c r="N31" i="13" s="1"/>
  <c r="L32" i="13"/>
  <c r="N32" i="13" s="1"/>
  <c r="L34" i="13"/>
  <c r="N34" i="13" s="1"/>
  <c r="L35" i="13"/>
  <c r="N35" i="13" s="1"/>
  <c r="L37" i="13"/>
  <c r="N37" i="13" s="1"/>
  <c r="L38" i="13"/>
  <c r="N38" i="13" s="1"/>
  <c r="L41" i="13"/>
  <c r="N41" i="13" s="1"/>
  <c r="L44" i="13"/>
  <c r="N44" i="13" s="1"/>
  <c r="L45" i="13"/>
  <c r="N45" i="13" s="1"/>
  <c r="L46" i="13"/>
  <c r="N46" i="13" s="1"/>
  <c r="L47" i="13"/>
  <c r="N47" i="13" s="1"/>
  <c r="L49" i="13"/>
  <c r="N49" i="13" s="1"/>
  <c r="L51" i="13"/>
  <c r="N51" i="13" s="1"/>
  <c r="N24" i="11" l="1"/>
  <c r="N25" i="11"/>
  <c r="N26" i="11"/>
  <c r="N27" i="11"/>
  <c r="N23" i="11"/>
  <c r="L31" i="11"/>
  <c r="N31" i="11" s="1"/>
  <c r="L32" i="11"/>
  <c r="N32" i="11" s="1"/>
  <c r="L34" i="11"/>
  <c r="N34" i="11" s="1"/>
  <c r="L35" i="11"/>
  <c r="N35" i="11" s="1"/>
  <c r="L37" i="11"/>
  <c r="N37" i="11" s="1"/>
  <c r="L38" i="11"/>
  <c r="N38" i="11" s="1"/>
  <c r="L41" i="11"/>
  <c r="N41" i="11" s="1"/>
  <c r="L44" i="11"/>
  <c r="N44" i="11" s="1"/>
  <c r="L45" i="11"/>
  <c r="N45" i="11" s="1"/>
  <c r="L46" i="11"/>
  <c r="N46" i="11" s="1"/>
  <c r="L47" i="11"/>
  <c r="N47" i="11" s="1"/>
  <c r="L49" i="11"/>
  <c r="N49" i="11" s="1"/>
  <c r="L51" i="11"/>
  <c r="N51" i="11" s="1"/>
  <c r="N27" i="9" l="1"/>
  <c r="L31" i="9"/>
  <c r="N31" i="9" s="1"/>
  <c r="L32" i="9"/>
  <c r="N32" i="9" s="1"/>
  <c r="L37" i="9"/>
  <c r="N37" i="9" s="1"/>
  <c r="L38" i="9"/>
  <c r="N38" i="9" s="1"/>
  <c r="L41" i="9"/>
  <c r="N41" i="9" s="1"/>
  <c r="L44" i="9"/>
  <c r="N44" i="9" s="1"/>
  <c r="L45" i="9"/>
  <c r="N45" i="9" s="1"/>
  <c r="L46" i="9"/>
  <c r="N46" i="9" s="1"/>
  <c r="L47" i="9"/>
  <c r="N47" i="9" s="1"/>
  <c r="L49" i="9"/>
  <c r="N49" i="9" s="1"/>
  <c r="L50" i="9"/>
  <c r="N50" i="9" s="1"/>
  <c r="L51" i="9"/>
  <c r="N51" i="9" s="1"/>
  <c r="L25" i="9" l="1"/>
  <c r="N25" i="9" s="1"/>
  <c r="L26" i="9"/>
  <c r="N26" i="9" s="1"/>
  <c r="N24" i="8"/>
  <c r="N25" i="8"/>
  <c r="N26" i="8"/>
  <c r="N27" i="8"/>
  <c r="N31" i="8"/>
  <c r="L31" i="8"/>
  <c r="L37" i="8"/>
  <c r="N37" i="8" s="1"/>
  <c r="L38" i="8"/>
  <c r="N38" i="8" s="1"/>
  <c r="L41" i="8"/>
  <c r="N41" i="8" s="1"/>
  <c r="L44" i="8"/>
  <c r="N44" i="8" s="1"/>
  <c r="L45" i="8"/>
  <c r="N45" i="8" s="1"/>
  <c r="L46" i="8"/>
  <c r="N46" i="8" s="1"/>
  <c r="L47" i="8"/>
  <c r="N47" i="8" s="1"/>
  <c r="L49" i="8"/>
  <c r="N49" i="8" s="1"/>
  <c r="L51" i="8"/>
  <c r="N51" i="8" s="1"/>
  <c r="N24" i="7" l="1"/>
  <c r="N25" i="7"/>
  <c r="N26" i="7"/>
  <c r="N27" i="7"/>
  <c r="L31" i="7"/>
  <c r="N31" i="7" s="1"/>
  <c r="L32" i="7"/>
  <c r="N32" i="7" s="1"/>
  <c r="L37" i="7"/>
  <c r="N37" i="7" s="1"/>
  <c r="L38" i="7"/>
  <c r="N38" i="7" s="1"/>
  <c r="L41" i="7"/>
  <c r="N41" i="7" s="1"/>
  <c r="L44" i="7"/>
  <c r="N44" i="7" s="1"/>
  <c r="L45" i="7"/>
  <c r="N45" i="7" s="1"/>
  <c r="L46" i="7"/>
  <c r="N46" i="7" s="1"/>
  <c r="L47" i="7"/>
  <c r="N47" i="7" s="1"/>
  <c r="L49" i="7"/>
  <c r="N49" i="7" s="1"/>
  <c r="L51" i="7"/>
  <c r="N51" i="7" s="1"/>
  <c r="L23" i="7"/>
  <c r="N23" i="7" s="1"/>
  <c r="N24" i="6"/>
  <c r="N25" i="6"/>
  <c r="N26" i="6"/>
  <c r="N27" i="6"/>
  <c r="L31" i="6"/>
  <c r="N31" i="6" s="1"/>
  <c r="L37" i="6"/>
  <c r="N37" i="6" s="1"/>
  <c r="L38" i="6"/>
  <c r="N38" i="6" s="1"/>
  <c r="L41" i="6"/>
  <c r="N41" i="6" s="1"/>
  <c r="L44" i="6"/>
  <c r="N44" i="6" s="1"/>
  <c r="L45" i="6"/>
  <c r="N45" i="6" s="1"/>
  <c r="L46" i="6"/>
  <c r="N46" i="6" s="1"/>
  <c r="L47" i="6"/>
  <c r="N47" i="6" s="1"/>
  <c r="L49" i="6"/>
  <c r="N49" i="6" s="1"/>
  <c r="L51" i="6"/>
  <c r="N51" i="6" s="1"/>
  <c r="L23" i="6"/>
  <c r="N23" i="6" s="1"/>
  <c r="L25" i="5" l="1"/>
  <c r="N25" i="5" s="1"/>
  <c r="L26" i="5"/>
  <c r="N26" i="5" s="1"/>
  <c r="L31" i="5"/>
  <c r="N31" i="5" s="1"/>
  <c r="L37" i="5"/>
  <c r="N37" i="5" s="1"/>
  <c r="L41" i="5"/>
  <c r="N41" i="5" s="1"/>
  <c r="L44" i="5"/>
  <c r="N44" i="5" s="1"/>
  <c r="L45" i="5"/>
  <c r="N45" i="5" s="1"/>
  <c r="L46" i="5"/>
  <c r="N46" i="5" s="1"/>
  <c r="L47" i="5"/>
  <c r="N47" i="5" s="1"/>
  <c r="L49" i="5"/>
  <c r="N49" i="5" s="1"/>
  <c r="L50" i="5"/>
  <c r="N50" i="5" s="1"/>
  <c r="L51" i="5"/>
  <c r="N51" i="5" s="1"/>
  <c r="L31" i="4" l="1"/>
  <c r="N31" i="4" s="1"/>
  <c r="L32" i="4"/>
  <c r="N32" i="4" s="1"/>
  <c r="L37" i="4"/>
  <c r="N37" i="4" s="1"/>
  <c r="L41" i="4"/>
  <c r="N41" i="4" s="1"/>
  <c r="L44" i="4"/>
  <c r="N44" i="4" s="1"/>
  <c r="L45" i="4"/>
  <c r="N45" i="4" s="1"/>
  <c r="L46" i="4"/>
  <c r="N46" i="4" s="1"/>
  <c r="L47" i="4"/>
  <c r="N47" i="4" s="1"/>
  <c r="L49" i="4"/>
  <c r="N49" i="4" s="1"/>
  <c r="L50" i="4"/>
  <c r="N50" i="4" s="1"/>
  <c r="L51" i="4"/>
  <c r="N51" i="4" s="1"/>
  <c r="L26" i="4"/>
  <c r="N26" i="4" s="1"/>
  <c r="L25" i="4"/>
  <c r="N25" i="4" s="1"/>
  <c r="L23" i="4" l="1"/>
  <c r="N23" i="4" s="1"/>
  <c r="N24" i="2"/>
  <c r="N25" i="2"/>
  <c r="N26" i="2"/>
  <c r="N27" i="2"/>
  <c r="N51" i="2"/>
  <c r="L45" i="2"/>
  <c r="N45" i="2" s="1"/>
  <c r="L46" i="2"/>
  <c r="N46" i="2" s="1"/>
  <c r="L47" i="2"/>
  <c r="N47" i="2" s="1"/>
  <c r="L49" i="2"/>
  <c r="N49" i="2" s="1"/>
  <c r="L44" i="2"/>
  <c r="N44" i="2" s="1"/>
  <c r="L32" i="2"/>
  <c r="N32" i="2" s="1"/>
  <c r="L34" i="2"/>
  <c r="N34" i="2" s="1"/>
  <c r="L35" i="2"/>
  <c r="N35" i="2" s="1"/>
  <c r="L37" i="2"/>
  <c r="N37" i="2" s="1"/>
  <c r="L38" i="2"/>
  <c r="N38" i="2" s="1"/>
  <c r="L41" i="2"/>
  <c r="N41" i="2" s="1"/>
  <c r="L31" i="2"/>
  <c r="N31" i="2" s="1"/>
  <c r="L23" i="2"/>
  <c r="N23" i="2" s="1"/>
  <c r="N24" i="1"/>
  <c r="N25" i="1"/>
  <c r="N26" i="1"/>
  <c r="N27" i="1"/>
  <c r="N31" i="1"/>
  <c r="N32" i="1"/>
  <c r="N34" i="1"/>
  <c r="N35" i="1"/>
  <c r="N37" i="1"/>
  <c r="N41" i="1"/>
  <c r="N44" i="1"/>
  <c r="N45" i="1"/>
  <c r="N46" i="1"/>
  <c r="N47" i="1"/>
  <c r="N48" i="1"/>
  <c r="N50" i="1"/>
  <c r="L29" i="1"/>
  <c r="N29" i="1" s="1"/>
  <c r="L23" i="1"/>
  <c r="N23" i="1" s="1"/>
  <c r="J23" i="6"/>
  <c r="J23" i="7"/>
  <c r="J43" i="5"/>
  <c r="L43" i="5" s="1"/>
  <c r="N43" i="5" s="1"/>
  <c r="J29" i="5"/>
  <c r="L29" i="5" s="1"/>
  <c r="N29" i="5" s="1"/>
  <c r="J23" i="5"/>
  <c r="L23" i="5" s="1"/>
  <c r="N23" i="5" s="1"/>
  <c r="J43" i="4"/>
  <c r="L43" i="4" s="1"/>
  <c r="N43" i="4" s="1"/>
  <c r="J29" i="4"/>
  <c r="L29" i="4" s="1"/>
  <c r="N29" i="4" s="1"/>
  <c r="J23" i="4"/>
  <c r="J43" i="37"/>
  <c r="L43" i="37" s="1"/>
  <c r="N43" i="37" s="1"/>
  <c r="J23" i="35"/>
  <c r="L23" i="35" s="1"/>
  <c r="N23" i="35" s="1"/>
  <c r="J43" i="35"/>
  <c r="L43" i="35" s="1"/>
  <c r="N43" i="35" s="1"/>
  <c r="J43" i="34"/>
  <c r="L43" i="34" s="1"/>
  <c r="N43" i="34" s="1"/>
  <c r="J23" i="34"/>
  <c r="J43" i="33"/>
  <c r="L43" i="33" s="1"/>
  <c r="N43" i="33" s="1"/>
  <c r="J29" i="33"/>
  <c r="J23" i="33"/>
  <c r="L23" i="33" s="1"/>
  <c r="N23" i="33" s="1"/>
  <c r="J43" i="32"/>
  <c r="J29" i="32"/>
  <c r="J23" i="32"/>
  <c r="J43" i="30"/>
  <c r="L43" i="30" s="1"/>
  <c r="N43" i="30" s="1"/>
  <c r="J29" i="30"/>
  <c r="L29" i="30" s="1"/>
  <c r="N29" i="30" s="1"/>
  <c r="J23" i="30"/>
  <c r="L23" i="30" s="1"/>
  <c r="N23" i="30" s="1"/>
  <c r="J43" i="28"/>
  <c r="L43" i="28" s="1"/>
  <c r="N43" i="28" s="1"/>
  <c r="J29" i="28"/>
  <c r="L29" i="28" s="1"/>
  <c r="N29" i="28" s="1"/>
  <c r="J23" i="28"/>
  <c r="L23" i="28" s="1"/>
  <c r="N23" i="28" s="1"/>
  <c r="J43" i="29"/>
  <c r="L43" i="29" s="1"/>
  <c r="N43" i="29" s="1"/>
  <c r="J29" i="29"/>
  <c r="J23" i="29"/>
  <c r="J43" i="26"/>
  <c r="L43" i="26" s="1"/>
  <c r="N43" i="26" s="1"/>
  <c r="J29" i="26"/>
  <c r="J23" i="26"/>
  <c r="J29" i="25"/>
  <c r="L29" i="25" s="1"/>
  <c r="N29" i="25" s="1"/>
  <c r="J43" i="25"/>
  <c r="L43" i="25" s="1"/>
  <c r="N43" i="25" s="1"/>
  <c r="J23" i="25"/>
  <c r="L50" i="25" s="1"/>
  <c r="N50" i="25" s="1"/>
  <c r="J43" i="12"/>
  <c r="L43" i="12" s="1"/>
  <c r="N43" i="12" s="1"/>
  <c r="J29" i="12"/>
  <c r="L29" i="12" s="1"/>
  <c r="N29" i="12" s="1"/>
  <c r="J23" i="12"/>
  <c r="J43" i="11"/>
  <c r="L43" i="11" s="1"/>
  <c r="N43" i="11" s="1"/>
  <c r="J29" i="11"/>
  <c r="L29" i="11" s="1"/>
  <c r="N29" i="11" s="1"/>
  <c r="J23" i="11"/>
  <c r="J43" i="10"/>
  <c r="L43" i="10" s="1"/>
  <c r="N43" i="10" s="1"/>
  <c r="J29" i="10"/>
  <c r="L29" i="10" s="1"/>
  <c r="N29" i="10" s="1"/>
  <c r="J23" i="10"/>
  <c r="L23" i="10" s="1"/>
  <c r="N23" i="10" s="1"/>
  <c r="J43" i="9"/>
  <c r="L43" i="9" s="1"/>
  <c r="N43" i="9" s="1"/>
  <c r="J29" i="9"/>
  <c r="L29" i="9" s="1"/>
  <c r="N29" i="9" s="1"/>
  <c r="J23" i="9"/>
  <c r="L23" i="9" s="1"/>
  <c r="N23" i="9" s="1"/>
  <c r="J43" i="8"/>
  <c r="L43" i="8" s="1"/>
  <c r="N43" i="8" s="1"/>
  <c r="J23" i="8"/>
  <c r="L23" i="8" s="1"/>
  <c r="N23" i="8" s="1"/>
  <c r="N19" i="8" s="1"/>
  <c r="J29" i="8"/>
  <c r="L29" i="8" s="1"/>
  <c r="N29" i="8" s="1"/>
  <c r="J43" i="24"/>
  <c r="L43" i="24" s="1"/>
  <c r="N43" i="24" s="1"/>
  <c r="J29" i="24"/>
  <c r="L29" i="24" s="1"/>
  <c r="N29" i="24" s="1"/>
  <c r="N19" i="24" s="1"/>
  <c r="J23" i="24"/>
  <c r="J44" i="23"/>
  <c r="L44" i="23" s="1"/>
  <c r="N44" i="23" s="1"/>
  <c r="J23" i="23"/>
  <c r="J43" i="21"/>
  <c r="L43" i="21" s="1"/>
  <c r="N43" i="21" s="1"/>
  <c r="J29" i="21"/>
  <c r="L29" i="21" s="1"/>
  <c r="N29" i="21" s="1"/>
  <c r="J23" i="21"/>
  <c r="L23" i="21" s="1"/>
  <c r="N23" i="21" s="1"/>
  <c r="J43" i="20"/>
  <c r="L43" i="20" s="1"/>
  <c r="N43" i="20" s="1"/>
  <c r="J29" i="20"/>
  <c r="L29" i="20" s="1"/>
  <c r="N29" i="20" s="1"/>
  <c r="J23" i="20"/>
  <c r="J43" i="19"/>
  <c r="L43" i="19" s="1"/>
  <c r="N43" i="19" s="1"/>
  <c r="J29" i="19"/>
  <c r="J23" i="19"/>
  <c r="J29" i="18"/>
  <c r="J43" i="18"/>
  <c r="L43" i="18" s="1"/>
  <c r="N43" i="18" s="1"/>
  <c r="J23" i="18"/>
  <c r="L23" i="18" s="1"/>
  <c r="N23" i="18" s="1"/>
  <c r="J43" i="17"/>
  <c r="L43" i="17" s="1"/>
  <c r="N43" i="17" s="1"/>
  <c r="J23" i="17"/>
  <c r="L23" i="17" s="1"/>
  <c r="N23" i="17" s="1"/>
  <c r="J43" i="16"/>
  <c r="L43" i="16" s="1"/>
  <c r="N43" i="16" s="1"/>
  <c r="J29" i="16"/>
  <c r="L29" i="16" s="1"/>
  <c r="N29" i="16" s="1"/>
  <c r="J23" i="16"/>
  <c r="J43" i="15"/>
  <c r="L43" i="15" s="1"/>
  <c r="N43" i="15" s="1"/>
  <c r="J29" i="15"/>
  <c r="J23" i="15"/>
  <c r="J43" i="13"/>
  <c r="L43" i="13" s="1"/>
  <c r="N43" i="13" s="1"/>
  <c r="J29" i="13"/>
  <c r="L29" i="13" s="1"/>
  <c r="N29" i="13" s="1"/>
  <c r="J23" i="13"/>
  <c r="J43" i="7"/>
  <c r="L43" i="7" s="1"/>
  <c r="N43" i="7" s="1"/>
  <c r="J29" i="7"/>
  <c r="L29" i="7" s="1"/>
  <c r="N29" i="7" s="1"/>
  <c r="N19" i="7" s="1"/>
  <c r="J43" i="6"/>
  <c r="L43" i="6" s="1"/>
  <c r="N43" i="6" s="1"/>
  <c r="J29" i="6"/>
  <c r="J43" i="27"/>
  <c r="L43" i="27" s="1"/>
  <c r="N43" i="27" s="1"/>
  <c r="J29" i="27"/>
  <c r="L29" i="27" s="1"/>
  <c r="N29" i="27" s="1"/>
  <c r="J23" i="27"/>
  <c r="J43" i="31"/>
  <c r="L43" i="31" s="1"/>
  <c r="N43" i="31" s="1"/>
  <c r="J29" i="31"/>
  <c r="J23" i="31"/>
  <c r="J43" i="14"/>
  <c r="L43" i="14" s="1"/>
  <c r="N43" i="14" s="1"/>
  <c r="J29" i="14"/>
  <c r="L29" i="14" s="1"/>
  <c r="N29" i="14" s="1"/>
  <c r="J23" i="14"/>
  <c r="J43" i="3"/>
  <c r="L43" i="3" s="1"/>
  <c r="N43" i="3" s="1"/>
  <c r="J29" i="3"/>
  <c r="L29" i="3" s="1"/>
  <c r="N29" i="3" s="1"/>
  <c r="J23" i="3"/>
  <c r="L23" i="3" s="1"/>
  <c r="N23" i="3" s="1"/>
  <c r="J29" i="2"/>
  <c r="J43" i="2"/>
  <c r="J23" i="2"/>
  <c r="J29" i="1"/>
  <c r="J23" i="1"/>
  <c r="J43" i="1"/>
  <c r="L43" i="1" s="1"/>
  <c r="N43" i="1" s="1"/>
  <c r="N50" i="34" l="1"/>
  <c r="L23" i="34"/>
  <c r="N23" i="34" s="1"/>
  <c r="L29" i="33"/>
  <c r="N29" i="33" s="1"/>
  <c r="L43" i="32"/>
  <c r="N43" i="32" s="1"/>
  <c r="L29" i="32"/>
  <c r="N29" i="32" s="1"/>
  <c r="L29" i="31"/>
  <c r="N29" i="31" s="1"/>
  <c r="L29" i="29"/>
  <c r="N29" i="29" s="1"/>
  <c r="L29" i="26"/>
  <c r="N29" i="26" s="1"/>
  <c r="L29" i="18"/>
  <c r="N29" i="18" s="1"/>
  <c r="N19" i="5"/>
  <c r="L43" i="2"/>
  <c r="N43" i="2" s="1"/>
  <c r="N50" i="33"/>
  <c r="N50" i="32"/>
  <c r="L50" i="27"/>
  <c r="N50" i="27" s="1"/>
  <c r="L50" i="19"/>
  <c r="N50" i="19" s="1"/>
  <c r="L29" i="19"/>
  <c r="N29" i="19" s="1"/>
  <c r="L50" i="15"/>
  <c r="N50" i="15" s="1"/>
  <c r="L29" i="15"/>
  <c r="N29" i="15" s="1"/>
  <c r="L50" i="7"/>
  <c r="N50" i="7" s="1"/>
  <c r="L50" i="6"/>
  <c r="N50" i="6" s="1"/>
  <c r="L29" i="6"/>
  <c r="N29" i="6" s="1"/>
  <c r="N19" i="6" s="1"/>
  <c r="L29" i="2"/>
  <c r="N29" i="2" s="1"/>
  <c r="N49" i="1"/>
  <c r="L50" i="16"/>
  <c r="N50" i="16" s="1"/>
  <c r="N50" i="31"/>
  <c r="N50" i="29"/>
  <c r="N50" i="26"/>
  <c r="L51" i="23"/>
  <c r="N51" i="23" s="1"/>
  <c r="L50" i="20"/>
  <c r="N50" i="20" s="1"/>
  <c r="L50" i="14"/>
  <c r="N50" i="14" s="1"/>
  <c r="L50" i="13"/>
  <c r="N50" i="13" s="1"/>
  <c r="L50" i="12"/>
  <c r="N50" i="12" s="1"/>
  <c r="L50" i="11"/>
  <c r="N50" i="11" s="1"/>
  <c r="L50" i="8"/>
  <c r="N50" i="8" s="1"/>
  <c r="N50" i="2" l="1"/>
</calcChain>
</file>

<file path=xl/sharedStrings.xml><?xml version="1.0" encoding="utf-8"?>
<sst xmlns="http://schemas.openxmlformats.org/spreadsheetml/2006/main" count="4003" uniqueCount="234">
  <si>
    <t>Obligāti veicamo dzīvojamās mājas uzturēšanas un apsaimniekošanas darbu</t>
  </si>
  <si>
    <t>Mājas adrese:</t>
  </si>
  <si>
    <t>Celtnieku iela 4, Roja</t>
  </si>
  <si>
    <t>Mājas apsaimniekotājs:</t>
  </si>
  <si>
    <t>SIA " Rojas DzKU"  reģ. Nr.49003000396, Selgas iela 8, Roja</t>
  </si>
  <si>
    <t>1.Kopējā dzīvokļu īpašumu platība:</t>
  </si>
  <si>
    <t>2.Apkopjamā plarība:</t>
  </si>
  <si>
    <t>2.1.</t>
  </si>
  <si>
    <t>ietves</t>
  </si>
  <si>
    <t>18 m2</t>
  </si>
  <si>
    <t>2.2.</t>
  </si>
  <si>
    <t>ielas braucamā daļa</t>
  </si>
  <si>
    <t>172 m2</t>
  </si>
  <si>
    <t>2.3.</t>
  </si>
  <si>
    <t>zāliens, apstādījumi</t>
  </si>
  <si>
    <t>839 m2</t>
  </si>
  <si>
    <t>2.4.</t>
  </si>
  <si>
    <t>bērnu rotaļu laukumi</t>
  </si>
  <si>
    <t>45 m2</t>
  </si>
  <si>
    <t>Pakalpojums</t>
  </si>
  <si>
    <t>Vai tiek</t>
  </si>
  <si>
    <t>Darbu periodiskums</t>
  </si>
  <si>
    <t>Cena uz 1 m2</t>
  </si>
  <si>
    <t>Mēnesī</t>
  </si>
  <si>
    <t>Gadā</t>
  </si>
  <si>
    <t>sniegts</t>
  </si>
  <si>
    <t>EUR</t>
  </si>
  <si>
    <t>pakalpojums</t>
  </si>
  <si>
    <t>Ieņēmumi</t>
  </si>
  <si>
    <t>Izdevumi</t>
  </si>
  <si>
    <t>1.Dzīvojamai mājai piesaistītā zemes</t>
  </si>
  <si>
    <t>gabala sanitārā kopšana</t>
  </si>
  <si>
    <t>1.1.</t>
  </si>
  <si>
    <t>Sētnieka darba alga un soc.nodoklis</t>
  </si>
  <si>
    <t>jā</t>
  </si>
  <si>
    <t>1 reizi mēnesī</t>
  </si>
  <si>
    <t>1.2.</t>
  </si>
  <si>
    <t>Zāles pļaušana</t>
  </si>
  <si>
    <t>vasaras sezonā</t>
  </si>
  <si>
    <t>1.3.</t>
  </si>
  <si>
    <t>Lapu, zaru izvešana</t>
  </si>
  <si>
    <t>pēc nepieciešamības</t>
  </si>
  <si>
    <t>1.4.</t>
  </si>
  <si>
    <t>Valsts karoga pacelšana</t>
  </si>
  <si>
    <t>svētku un atceres dienās</t>
  </si>
  <si>
    <t>2.Dzīvojamās mājas tehniskā apkope un remonti</t>
  </si>
  <si>
    <t>Ūdensvada un kanalizācijas sistēma</t>
  </si>
  <si>
    <t>2.1.1.</t>
  </si>
  <si>
    <t>Ūdensvada un kanalizācijas sistēmas  apkalpošana</t>
  </si>
  <si>
    <t>pastāvīgi</t>
  </si>
  <si>
    <t>2.1.2.</t>
  </si>
  <si>
    <t>Ūdensvada un kanalizācijas sistēmas remonts</t>
  </si>
  <si>
    <t>Siltumāpgādes sistēma</t>
  </si>
  <si>
    <t>2.2.1.</t>
  </si>
  <si>
    <t>Siltumāpgādes sistēmas apkalpošana</t>
  </si>
  <si>
    <t>2.2.2.</t>
  </si>
  <si>
    <t>Siltumapgādes sistēmas remonts</t>
  </si>
  <si>
    <t>Elektroapgādes sistēma</t>
  </si>
  <si>
    <t>2.3.1.</t>
  </si>
  <si>
    <t>Ēku elektroiekārtu apkalpošana</t>
  </si>
  <si>
    <t>2.3.2.</t>
  </si>
  <si>
    <t>Elektrotīklu remonts</t>
  </si>
  <si>
    <t>Konstruktīvo elementu uzturēšana</t>
  </si>
  <si>
    <t>2.4.1.</t>
  </si>
  <si>
    <t>Ēku tehniskā apsekošana</t>
  </si>
  <si>
    <t>2.4.2.</t>
  </si>
  <si>
    <t>Ēku tehniskā apkalpošana,t.sk.materiāli,transports</t>
  </si>
  <si>
    <t>3.Mājas pārvaldīšanas izdevumi</t>
  </si>
  <si>
    <t>3.1.</t>
  </si>
  <si>
    <t>Finanšu uzskaite</t>
  </si>
  <si>
    <t>3.2.</t>
  </si>
  <si>
    <t>Juridiskie pakalpojumi</t>
  </si>
  <si>
    <t>3.3.</t>
  </si>
  <si>
    <t>Lietvedība</t>
  </si>
  <si>
    <t>3.4.</t>
  </si>
  <si>
    <t>apsaimniekotāja administratīvie izdevumi</t>
  </si>
  <si>
    <t>4. Neparedzētie izdevumi-avārijas brigāde</t>
  </si>
  <si>
    <t>KOPĀ</t>
  </si>
  <si>
    <t>5. Mājas uzkrājumu veidošana</t>
  </si>
  <si>
    <t>Celtnieku iela 4A , Roja</t>
  </si>
  <si>
    <t>51 m2</t>
  </si>
  <si>
    <t>202 m2</t>
  </si>
  <si>
    <t>1356,76 m2</t>
  </si>
  <si>
    <t>konteineru laukumi</t>
  </si>
  <si>
    <t>Jūras  iela 2 , Roja</t>
  </si>
  <si>
    <t>138,5 m2</t>
  </si>
  <si>
    <t>nē</t>
  </si>
  <si>
    <t>Jūras  iela  5 , Roja</t>
  </si>
  <si>
    <t>Jūras  iela  7 , Roja</t>
  </si>
  <si>
    <t>Kosmonautu iela 2, Roja</t>
  </si>
  <si>
    <t>Kosmonautu iela 5, Roja</t>
  </si>
  <si>
    <t>Kosmonautu iela 6, Roja</t>
  </si>
  <si>
    <t>Kosmonautu iela 7, Roja</t>
  </si>
  <si>
    <t>Kosmonautu iela 8, Roja</t>
  </si>
  <si>
    <t>Kosmonautu iela 9, Roja</t>
  </si>
  <si>
    <t>105 m2</t>
  </si>
  <si>
    <t>380 m2</t>
  </si>
  <si>
    <t>657,76 m2</t>
  </si>
  <si>
    <t>Kosmonautu iela 10, Roja</t>
  </si>
  <si>
    <t>Kosmonautu iela 11, Roja</t>
  </si>
  <si>
    <t>20 m2</t>
  </si>
  <si>
    <t>53,01 m2</t>
  </si>
  <si>
    <t>643,69 m2</t>
  </si>
  <si>
    <t>Kosmonautu iela 13, Roja</t>
  </si>
  <si>
    <t>48  m2</t>
  </si>
  <si>
    <t>939,19 m2</t>
  </si>
  <si>
    <t>2270,71 m2</t>
  </si>
  <si>
    <t>19 m2</t>
  </si>
  <si>
    <t>2.5.</t>
  </si>
  <si>
    <t>Kosmonautu iela 16, Roja</t>
  </si>
  <si>
    <t>6 m2</t>
  </si>
  <si>
    <t>832 m2</t>
  </si>
  <si>
    <t>Kosmonautu iela 20, Roja</t>
  </si>
  <si>
    <t>4,5 m2</t>
  </si>
  <si>
    <t>758,5 m2</t>
  </si>
  <si>
    <t>Miera iela 7, Roja</t>
  </si>
  <si>
    <t>Miera iela 12, Roja</t>
  </si>
  <si>
    <t>Plūdoņa iela 8, Roja</t>
  </si>
  <si>
    <t>179,5 m2</t>
  </si>
  <si>
    <t>528 m2</t>
  </si>
  <si>
    <t>2348,5 m2</t>
  </si>
  <si>
    <t>Plūdoņa iela 10, Roja</t>
  </si>
  <si>
    <t>78 m2</t>
  </si>
  <si>
    <t>284 m2</t>
  </si>
  <si>
    <t>1333 m2</t>
  </si>
  <si>
    <t>233,9 m2</t>
  </si>
  <si>
    <t>Selgas iela 8 , Roja</t>
  </si>
  <si>
    <t>Selgas iela 3, Roja</t>
  </si>
  <si>
    <t>65,8 m2</t>
  </si>
  <si>
    <t>Selgas iela 16, Roja</t>
  </si>
  <si>
    <t>99 m2</t>
  </si>
  <si>
    <t>585 m2</t>
  </si>
  <si>
    <t>2500,5 m2</t>
  </si>
  <si>
    <t>13,5 m2</t>
  </si>
  <si>
    <t>Selgas iela 31, Roja</t>
  </si>
  <si>
    <t>54,29 m2</t>
  </si>
  <si>
    <t>1089,29 m2</t>
  </si>
  <si>
    <t>Strauta iela 3, Roja</t>
  </si>
  <si>
    <t>123,25 m2</t>
  </si>
  <si>
    <t>381,56 m2</t>
  </si>
  <si>
    <t>1836,19 m2</t>
  </si>
  <si>
    <t>Strauta iela 6, Roja</t>
  </si>
  <si>
    <t>201 m2</t>
  </si>
  <si>
    <t>527 m2</t>
  </si>
  <si>
    <t>3090 m2</t>
  </si>
  <si>
    <t>Strauta iela 8, Roja</t>
  </si>
  <si>
    <t>232 m2</t>
  </si>
  <si>
    <t>907,15 m2</t>
  </si>
  <si>
    <t>2425,75 m2</t>
  </si>
  <si>
    <t>Strauta iela 17, Roja</t>
  </si>
  <si>
    <t>Strauta iela 15/17a, Roja</t>
  </si>
  <si>
    <t>22 m2</t>
  </si>
  <si>
    <t>366 m2</t>
  </si>
  <si>
    <t>569 m2</t>
  </si>
  <si>
    <t>9 m2</t>
  </si>
  <si>
    <t>Talsu iela 12, Roja</t>
  </si>
  <si>
    <t>Torņa iela 5, Roja</t>
  </si>
  <si>
    <t>90 m2</t>
  </si>
  <si>
    <t>2035 m2</t>
  </si>
  <si>
    <t>2331,75 m2</t>
  </si>
  <si>
    <t>21,25 m2</t>
  </si>
  <si>
    <t>Zvejnieku iela 14, Roja</t>
  </si>
  <si>
    <t>134 m2</t>
  </si>
  <si>
    <t>1985 m2</t>
  </si>
  <si>
    <t>Zvejnieku iela 16, Roja</t>
  </si>
  <si>
    <t>63,5 m2</t>
  </si>
  <si>
    <t>451 m2</t>
  </si>
  <si>
    <t>2434,3 m2</t>
  </si>
  <si>
    <t>Zvejnieku iela 18, Roja</t>
  </si>
  <si>
    <t>123 m2</t>
  </si>
  <si>
    <t>55 m2</t>
  </si>
  <si>
    <t>3329,9 m2</t>
  </si>
  <si>
    <t>Fabrikas māja 2, Kaltene, Rojas novads</t>
  </si>
  <si>
    <t>220,27 m2</t>
  </si>
  <si>
    <t>" Lakšas" , Rudē, Rojas novads</t>
  </si>
  <si>
    <t>Konteineru laukuma kopšana</t>
  </si>
  <si>
    <t>20,16 m2</t>
  </si>
  <si>
    <t>10,42 m2</t>
  </si>
  <si>
    <t>3,27 m2</t>
  </si>
  <si>
    <t>5,21 m2</t>
  </si>
  <si>
    <t>0,87 m2</t>
  </si>
  <si>
    <t>14,5 m2</t>
  </si>
  <si>
    <t>5,82 m2</t>
  </si>
  <si>
    <t>8,79 m2</t>
  </si>
  <si>
    <t>6,59 m2</t>
  </si>
  <si>
    <t>4,12 m2</t>
  </si>
  <si>
    <t>1,09 m2</t>
  </si>
  <si>
    <t>5,9 m2</t>
  </si>
  <si>
    <t>1,97 m2</t>
  </si>
  <si>
    <t>Konteineru laumumu kopšana</t>
  </si>
  <si>
    <t>Konteineru laukumu kopšana</t>
  </si>
  <si>
    <t>10,08 m2</t>
  </si>
  <si>
    <t>5 m2</t>
  </si>
  <si>
    <t>284.3 m2</t>
  </si>
  <si>
    <t>182,6 m2</t>
  </si>
  <si>
    <t>2.4.3.</t>
  </si>
  <si>
    <t>Dūmvadu tīrīšana</t>
  </si>
  <si>
    <t>162.3 m2</t>
  </si>
  <si>
    <t>955,74 m2</t>
  </si>
  <si>
    <t>223,7 m2</t>
  </si>
  <si>
    <t>1463,34 m2</t>
  </si>
  <si>
    <t>769,6 m2</t>
  </si>
  <si>
    <t>2832,6 m2</t>
  </si>
  <si>
    <t>132,36 m2</t>
  </si>
  <si>
    <t>Šalkas , Rudē, Rojas novads</t>
  </si>
  <si>
    <t>Mežrozes , Rudē, Rojas novads</t>
  </si>
  <si>
    <t xml:space="preserve">plānotā ieņēmumu un izdevumu tāme 2019.  gadam </t>
  </si>
  <si>
    <t>Sastādīja SIA "Rojas DzKU" namu apsaimniekotājs Edgars Murāns</t>
  </si>
  <si>
    <t>plānotā ieņēmumu un izdevumu tāme 2019.  gadam</t>
  </si>
  <si>
    <t>plānotā ieņēmumu un izdevumu tāme 2019. gadam</t>
  </si>
  <si>
    <t>1289.7 m2</t>
  </si>
  <si>
    <t>1161,5 m2</t>
  </si>
  <si>
    <t>2024,66 m2</t>
  </si>
  <si>
    <t>1125,5 m2</t>
  </si>
  <si>
    <t>1068,84 m2</t>
  </si>
  <si>
    <t>105,1 m2</t>
  </si>
  <si>
    <t>2064,3 m2</t>
  </si>
  <si>
    <t>1176,75 m2</t>
  </si>
  <si>
    <t>209,4 m2</t>
  </si>
  <si>
    <t>1081,42 m2</t>
  </si>
  <si>
    <t>1620,4 m2</t>
  </si>
  <si>
    <t>2297,9 m2</t>
  </si>
  <si>
    <t>118,6 m2</t>
  </si>
  <si>
    <t>529,8 m2</t>
  </si>
  <si>
    <t>563,0 m2</t>
  </si>
  <si>
    <t>1511,9 m2</t>
  </si>
  <si>
    <t>533,9 m2</t>
  </si>
  <si>
    <t>1189,8 m2</t>
  </si>
  <si>
    <t>296,7 m2</t>
  </si>
  <si>
    <t>176,49 m2</t>
  </si>
  <si>
    <t>184,4 m2</t>
  </si>
  <si>
    <t>181,3 m2</t>
  </si>
  <si>
    <t>175,7 m2</t>
  </si>
  <si>
    <t>183,8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</si>
</sst>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1" xfId="0" applyBorder="1"/>
    <xf numFmtId="0" fontId="2" fillId="0" borderId="0" xfId="0" applyFont="1"/>
    <xf numFmtId="43" fontId="0" fillId="0" borderId="1" xfId="1" applyFont="1" applyBorder="1"/>
    <xf numFmtId="0" fontId="2" fillId="0" borderId="1" xfId="0" applyFont="1" applyBorder="1"/>
    <xf numFmtId="0" fontId="3" fillId="0" borderId="1" xfId="0" applyFont="1" applyBorder="1"/>
    <xf numFmtId="43" fontId="3" fillId="0" borderId="1" xfId="1" applyFont="1" applyBorder="1"/>
    <xf numFmtId="0" fontId="4" fillId="0" borderId="0" xfId="0" applyFont="1"/>
    <xf numFmtId="0" fontId="5" fillId="0" borderId="1" xfId="0" applyFont="1" applyBorder="1"/>
    <xf numFmtId="43" fontId="5" fillId="0" borderId="1" xfId="1" applyFont="1" applyBorder="1"/>
    <xf numFmtId="164" fontId="5" fillId="0" borderId="1" xfId="1" applyNumberFormat="1" applyFont="1" applyBorder="1"/>
    <xf numFmtId="2" fontId="3" fillId="0" borderId="1" xfId="0" applyNumberFormat="1" applyFont="1" applyBorder="1"/>
    <xf numFmtId="43" fontId="3" fillId="0" borderId="1" xfId="0" applyNumberFormat="1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5" workbookViewId="0">
      <selection activeCell="J20" sqref="J20"/>
    </sheetView>
  </sheetViews>
  <sheetFormatPr defaultRowHeight="15" x14ac:dyDescent="0.25"/>
  <cols>
    <col min="4" max="4" width="22.42578125" customWidth="1"/>
    <col min="9" max="9" width="2.85546875" customWidth="1"/>
    <col min="11" max="11" width="4.28515625" customWidth="1"/>
    <col min="13" max="13" width="3.5703125" customWidth="1"/>
    <col min="14" max="14" width="11.28515625" customWidth="1"/>
  </cols>
  <sheetData>
    <row r="1" spans="1:14" x14ac:dyDescent="0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" t="s">
        <v>206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5" spans="1:14" ht="18.75" x14ac:dyDescent="0.3">
      <c r="A5" s="1" t="s">
        <v>1</v>
      </c>
      <c r="B5" s="1"/>
      <c r="C5" s="1"/>
      <c r="D5" s="8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 t="s">
        <v>3</v>
      </c>
      <c r="B6" s="1"/>
      <c r="C6" s="1"/>
      <c r="D6" s="1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198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9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12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15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 t="s">
        <v>18</v>
      </c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8.6999999999999994E-2</v>
      </c>
      <c r="K23" s="6"/>
      <c r="L23" s="6">
        <f t="shared" ref="L23" si="0">L24+L25+L26+L27</f>
        <v>83.149380000000008</v>
      </c>
      <c r="M23" s="6"/>
      <c r="N23" s="12">
        <f>L23*12</f>
        <v>997.79256000000009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5.3999999999999999E-2</v>
      </c>
      <c r="K24" s="2"/>
      <c r="L24" s="11">
        <f>J24*955.74</f>
        <v>51.609960000000001</v>
      </c>
      <c r="M24" s="4"/>
      <c r="N24" s="12">
        <f t="shared" ref="N24:N50" si="1">L24*12</f>
        <v>619.31952000000001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0.02</v>
      </c>
      <c r="K25" s="2"/>
      <c r="L25" s="11">
        <f>J25*955.74</f>
        <v>19.114799999999999</v>
      </c>
      <c r="M25" s="4"/>
      <c r="N25" s="12">
        <f t="shared" si="1"/>
        <v>229.37759999999997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0.01</v>
      </c>
      <c r="K26" s="2"/>
      <c r="L26" s="11">
        <f>J26*955.74</f>
        <v>9.5573999999999995</v>
      </c>
      <c r="M26" s="4"/>
      <c r="N26" s="12">
        <f t="shared" si="1"/>
        <v>114.68879999999999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3.0000000000000001E-3</v>
      </c>
      <c r="K27" s="2"/>
      <c r="L27" s="10">
        <f>J27*955.74</f>
        <v>2.8672200000000001</v>
      </c>
      <c r="M27" s="4"/>
      <c r="N27" s="12">
        <f t="shared" si="1"/>
        <v>34.406640000000003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2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J31+J32+J34+J35+J37+J41</f>
        <v>0.1328</v>
      </c>
      <c r="K29" s="6"/>
      <c r="L29" s="6">
        <f t="shared" ref="L29" si="2">L31+L32+L34+L35+L37+L41</f>
        <v>126.92227199999999</v>
      </c>
      <c r="M29" s="7"/>
      <c r="N29" s="12">
        <f t="shared" si="1"/>
        <v>1523.0672639999998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2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8.8000000000000005E-3</v>
      </c>
      <c r="K31" s="2"/>
      <c r="L31" s="10">
        <f>J31*955.74</f>
        <v>8.4105120000000007</v>
      </c>
      <c r="M31" s="4"/>
      <c r="N31" s="12">
        <f t="shared" si="1"/>
        <v>100.92614400000001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6.0000000000000001E-3</v>
      </c>
      <c r="K32" s="2"/>
      <c r="L32" s="10">
        <f t="shared" ref="L32:L50" si="3">J32*955.74</f>
        <v>5.7344400000000002</v>
      </c>
      <c r="M32" s="4"/>
      <c r="N32" s="12">
        <f t="shared" si="1"/>
        <v>68.813280000000006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2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1.17E-2</v>
      </c>
      <c r="K34" s="2"/>
      <c r="L34" s="10">
        <f t="shared" si="3"/>
        <v>11.182158000000001</v>
      </c>
      <c r="M34" s="4"/>
      <c r="N34" s="12">
        <f t="shared" si="1"/>
        <v>134.18589600000001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7.0000000000000001E-3</v>
      </c>
      <c r="K35" s="2"/>
      <c r="L35" s="10">
        <f t="shared" si="3"/>
        <v>6.6901799999999998</v>
      </c>
      <c r="M35" s="4"/>
      <c r="N35" s="12">
        <f t="shared" si="1"/>
        <v>80.282160000000005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2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9.2999999999999992E-3</v>
      </c>
      <c r="K37" s="2"/>
      <c r="L37" s="10">
        <f t="shared" si="3"/>
        <v>8.888382</v>
      </c>
      <c r="M37" s="4"/>
      <c r="N37" s="12">
        <f t="shared" si="1"/>
        <v>106.660584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10"/>
      <c r="M38" s="4"/>
      <c r="N38" s="12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2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2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0.09</v>
      </c>
      <c r="K41" s="2"/>
      <c r="L41" s="10">
        <f t="shared" si="3"/>
        <v>86.016599999999997</v>
      </c>
      <c r="M41" s="4"/>
      <c r="N41" s="12">
        <f t="shared" si="1"/>
        <v>1032.1992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2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3"/>
        <v>105.13140000000001</v>
      </c>
      <c r="M43" s="7"/>
      <c r="N43" s="12">
        <f t="shared" si="1"/>
        <v>1261.5768000000003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3"/>
        <v>37.273859999999999</v>
      </c>
      <c r="M44" s="4"/>
      <c r="N44" s="12">
        <f t="shared" si="1"/>
        <v>447.28631999999999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3"/>
        <v>14.3361</v>
      </c>
      <c r="M45" s="4"/>
      <c r="N45" s="12">
        <f t="shared" si="1"/>
        <v>172.03319999999999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3"/>
        <v>14.3361</v>
      </c>
      <c r="M46" s="4"/>
      <c r="N46" s="12">
        <f t="shared" si="1"/>
        <v>172.03319999999999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3"/>
        <v>39.185340000000004</v>
      </c>
      <c r="M47" s="4"/>
      <c r="N47" s="12">
        <f t="shared" si="1"/>
        <v>470.22408000000007</v>
      </c>
    </row>
    <row r="48" spans="1:14" ht="15.75" x14ac:dyDescent="0.25">
      <c r="A48" s="6" t="s">
        <v>76</v>
      </c>
      <c r="B48" s="6"/>
      <c r="C48" s="6"/>
      <c r="D48" s="6"/>
      <c r="E48" s="6"/>
      <c r="F48" s="6"/>
      <c r="G48" s="6"/>
      <c r="H48" s="6"/>
      <c r="I48" s="6"/>
      <c r="J48" s="9">
        <v>0.01</v>
      </c>
      <c r="K48" s="6"/>
      <c r="L48" s="10">
        <f t="shared" si="3"/>
        <v>9.5573999999999995</v>
      </c>
      <c r="M48" s="7"/>
      <c r="N48" s="12">
        <f t="shared" si="1"/>
        <v>114.68879999999999</v>
      </c>
    </row>
    <row r="49" spans="1:14" ht="15.75" x14ac:dyDescent="0.25">
      <c r="A49" s="6"/>
      <c r="B49" s="6"/>
      <c r="C49" s="6"/>
      <c r="D49" s="6"/>
      <c r="E49" s="6"/>
      <c r="F49" s="6"/>
      <c r="G49" s="6" t="s">
        <v>77</v>
      </c>
      <c r="H49" s="6"/>
      <c r="I49" s="6"/>
      <c r="J49" s="6">
        <v>0.34</v>
      </c>
      <c r="K49" s="6"/>
      <c r="L49" s="7">
        <f t="shared" si="3"/>
        <v>324.95160000000004</v>
      </c>
      <c r="M49" s="7"/>
      <c r="N49" s="12">
        <f t="shared" si="1"/>
        <v>3899.4192000000003</v>
      </c>
    </row>
    <row r="50" spans="1:14" ht="15.75" x14ac:dyDescent="0.25">
      <c r="A50" s="5" t="s">
        <v>78</v>
      </c>
      <c r="B50" s="2"/>
      <c r="C50" s="2"/>
      <c r="D50" s="2"/>
      <c r="E50" s="2"/>
      <c r="F50" s="2"/>
      <c r="G50" s="2"/>
      <c r="H50" s="2"/>
      <c r="I50" s="2"/>
      <c r="J50" s="5">
        <v>0.05</v>
      </c>
      <c r="K50" s="2"/>
      <c r="L50" s="7">
        <f t="shared" si="3"/>
        <v>47.787000000000006</v>
      </c>
      <c r="M50" s="2"/>
      <c r="N50" s="12">
        <f t="shared" si="1"/>
        <v>573.44400000000007</v>
      </c>
    </row>
    <row r="53" spans="1:14" x14ac:dyDescent="0.25">
      <c r="A53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2" workbookViewId="0">
      <selection activeCell="N19" sqref="N19"/>
    </sheetView>
  </sheetViews>
  <sheetFormatPr defaultRowHeight="15" x14ac:dyDescent="0.25"/>
  <cols>
    <col min="1" max="3" width="9.140625" style="1"/>
    <col min="4" max="4" width="27.42578125" style="1" customWidth="1"/>
    <col min="5" max="5" width="4.7109375" style="1" customWidth="1"/>
    <col min="6" max="6" width="4.42578125" style="1" customWidth="1"/>
    <col min="7" max="8" width="9.140625" style="1"/>
    <col min="9" max="9" width="4.28515625" style="1" customWidth="1"/>
    <col min="10" max="10" width="9.140625" style="1"/>
    <col min="11" max="11" width="4.140625" style="1" customWidth="1"/>
    <col min="12" max="12" width="9.140625" style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93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233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186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8.6000000000000007E-2</v>
      </c>
      <c r="K23" s="6"/>
      <c r="L23" s="7">
        <f>+J23*183.8</f>
        <v>15.806800000000003</v>
      </c>
      <c r="M23" s="6"/>
      <c r="N23" s="13">
        <f>L23*12</f>
        <v>189.68160000000003</v>
      </c>
    </row>
    <row r="24" spans="1:14" ht="15.75" x14ac:dyDescent="0.25">
      <c r="A24" s="2" t="s">
        <v>32</v>
      </c>
      <c r="B24" s="2" t="s">
        <v>175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1.7000000000000001E-2</v>
      </c>
      <c r="K24" s="2"/>
      <c r="L24" s="10">
        <f>J24*183.8</f>
        <v>3.1246000000000005</v>
      </c>
      <c r="M24" s="4"/>
      <c r="N24" s="13">
        <f t="shared" ref="N24:N51" si="0">L24*12</f>
        <v>37.495200000000004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0.04</v>
      </c>
      <c r="K25" s="2"/>
      <c r="L25" s="10">
        <f>J25*183.8</f>
        <v>7.3520000000000003</v>
      </c>
      <c r="M25" s="4"/>
      <c r="N25" s="13">
        <f t="shared" si="0"/>
        <v>88.224000000000004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8.9999999999999993E-3</v>
      </c>
      <c r="K26" s="2"/>
      <c r="L26" s="10">
        <f>J26*183.8</f>
        <v>1.6541999999999999</v>
      </c>
      <c r="M26" s="4"/>
      <c r="N26" s="13">
        <f t="shared" si="0"/>
        <v>19.8504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0.02</v>
      </c>
      <c r="K27" s="2"/>
      <c r="L27" s="10">
        <f>J27*183.8</f>
        <v>3.6760000000000002</v>
      </c>
      <c r="M27" s="4"/>
      <c r="N27" s="13">
        <f t="shared" si="0"/>
        <v>44.112000000000002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</f>
        <v>0.1145</v>
      </c>
      <c r="K29" s="6"/>
      <c r="L29" s="7">
        <f>J29*183.8</f>
        <v>21.045100000000001</v>
      </c>
      <c r="M29" s="7"/>
      <c r="N29" s="13">
        <f t="shared" si="0"/>
        <v>252.5412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 t="shared" ref="L31:L51" si="1">J31*183.8</f>
        <v>1.8196200000000002</v>
      </c>
      <c r="M31" s="4"/>
      <c r="N31" s="13">
        <f t="shared" si="0"/>
        <v>21.835440000000002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8.9999999999999993E-3</v>
      </c>
      <c r="K32" s="2"/>
      <c r="L32" s="10">
        <f t="shared" si="1"/>
        <v>1.6541999999999999</v>
      </c>
      <c r="M32" s="4"/>
      <c r="N32" s="13">
        <f t="shared" si="0"/>
        <v>19.8504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1"/>
        <v>1.76448</v>
      </c>
      <c r="M37" s="4"/>
      <c r="N37" s="13">
        <f t="shared" si="0"/>
        <v>21.173760000000001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1.9E-2</v>
      </c>
      <c r="K38" s="2"/>
      <c r="L38" s="10">
        <f t="shared" si="1"/>
        <v>3.4922</v>
      </c>
      <c r="M38" s="4"/>
      <c r="N38" s="13">
        <f t="shared" si="0"/>
        <v>41.906399999999998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6.7000000000000004E-2</v>
      </c>
      <c r="K41" s="2"/>
      <c r="L41" s="10">
        <f t="shared" si="1"/>
        <v>12.314600000000002</v>
      </c>
      <c r="M41" s="4"/>
      <c r="N41" s="13">
        <f t="shared" si="0"/>
        <v>147.77520000000004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20.218000000000004</v>
      </c>
      <c r="M43" s="7"/>
      <c r="N43" s="13">
        <f t="shared" si="0"/>
        <v>242.61600000000004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7.1682000000000006</v>
      </c>
      <c r="M44" s="4"/>
      <c r="N44" s="13">
        <f t="shared" si="0"/>
        <v>86.018400000000014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2.7570000000000001</v>
      </c>
      <c r="M45" s="4"/>
      <c r="N45" s="13">
        <f t="shared" si="0"/>
        <v>33.084000000000003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2.7570000000000001</v>
      </c>
      <c r="M46" s="4"/>
      <c r="N46" s="13">
        <f t="shared" si="0"/>
        <v>33.084000000000003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7.5358000000000009</v>
      </c>
      <c r="M47" s="4"/>
      <c r="N47" s="13">
        <f t="shared" si="0"/>
        <v>90.429600000000008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1.8380000000000001</v>
      </c>
      <c r="M49" s="7"/>
      <c r="N49" s="13">
        <f t="shared" si="0"/>
        <v>22.056000000000001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0.32</v>
      </c>
      <c r="K50" s="6"/>
      <c r="L50" s="7">
        <f t="shared" si="1"/>
        <v>58.816000000000003</v>
      </c>
      <c r="M50" s="7"/>
      <c r="N50" s="13">
        <f t="shared" si="0"/>
        <v>705.79200000000003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12.866000000000001</v>
      </c>
      <c r="M51" s="2"/>
      <c r="N51" s="13">
        <f t="shared" si="0"/>
        <v>154.39200000000002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5" workbookViewId="0">
      <selection activeCell="N19" sqref="N19"/>
    </sheetView>
  </sheetViews>
  <sheetFormatPr defaultRowHeight="15" x14ac:dyDescent="0.25"/>
  <cols>
    <col min="1" max="3" width="9.140625" style="1"/>
    <col min="4" max="4" width="26.5703125" style="1" customWidth="1"/>
    <col min="5" max="5" width="4.28515625" style="1" customWidth="1"/>
    <col min="6" max="6" width="4" style="1" customWidth="1"/>
    <col min="7" max="8" width="9.140625" style="1"/>
    <col min="9" max="9" width="4" style="1" customWidth="1"/>
    <col min="10" max="10" width="9.140625" style="1"/>
    <col min="11" max="11" width="4" style="1" customWidth="1"/>
    <col min="12" max="12" width="9.140625" style="1"/>
    <col min="13" max="13" width="4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94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97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9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95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96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187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9.5000000000000001E-2</v>
      </c>
      <c r="K23" s="6"/>
      <c r="L23" s="7">
        <f>L24+L25+L26+L27</f>
        <v>62.487200000000009</v>
      </c>
      <c r="M23" s="6"/>
      <c r="N23" s="13">
        <f>L23*12</f>
        <v>749.84640000000013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6.5000000000000002E-2</v>
      </c>
      <c r="K24" s="2"/>
      <c r="L24" s="10">
        <f>J24*657.76</f>
        <v>42.754400000000004</v>
      </c>
      <c r="M24" s="4"/>
      <c r="N24" s="13">
        <f t="shared" ref="N24:N51" si="0">L24*12</f>
        <v>513.05280000000005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1.4999999999999999E-2</v>
      </c>
      <c r="K25" s="2"/>
      <c r="L25" s="10">
        <f>J25*657.76</f>
        <v>9.8663999999999987</v>
      </c>
      <c r="M25" s="4"/>
      <c r="N25" s="13">
        <f t="shared" si="0"/>
        <v>118.39679999999998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0.01</v>
      </c>
      <c r="K26" s="2"/>
      <c r="L26" s="10">
        <f>J26*657.76</f>
        <v>6.5776000000000003</v>
      </c>
      <c r="M26" s="4"/>
      <c r="N26" s="13">
        <f t="shared" si="0"/>
        <v>78.931200000000004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5.0000000000000001E-3</v>
      </c>
      <c r="K27" s="2"/>
      <c r="L27" s="10">
        <f>J27*657.76</f>
        <v>3.2888000000000002</v>
      </c>
      <c r="M27" s="4"/>
      <c r="N27" s="13">
        <f t="shared" si="0"/>
        <v>39.465600000000002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0.125</v>
      </c>
      <c r="K29" s="6"/>
      <c r="L29" s="7">
        <f>J29*657.76</f>
        <v>82.22</v>
      </c>
      <c r="M29" s="7"/>
      <c r="N29" s="13">
        <f t="shared" si="0"/>
        <v>986.64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8.9999999999999993E-3</v>
      </c>
      <c r="K31" s="2"/>
      <c r="L31" s="10">
        <f t="shared" ref="L31:L51" si="1">J31*657.76</f>
        <v>5.9198399999999998</v>
      </c>
      <c r="M31" s="4"/>
      <c r="N31" s="13">
        <f t="shared" si="0"/>
        <v>71.038079999999994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6.0000000000000001E-3</v>
      </c>
      <c r="K32" s="2"/>
      <c r="L32" s="10">
        <f t="shared" si="1"/>
        <v>3.9465599999999998</v>
      </c>
      <c r="M32" s="4"/>
      <c r="N32" s="13">
        <f t="shared" si="0"/>
        <v>47.358719999999998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1.0999999999999999E-2</v>
      </c>
      <c r="K34" s="2"/>
      <c r="L34" s="10">
        <f t="shared" si="1"/>
        <v>7.2353599999999991</v>
      </c>
      <c r="M34" s="4"/>
      <c r="N34" s="13">
        <f t="shared" si="0"/>
        <v>86.824319999999986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5.0000000000000001E-3</v>
      </c>
      <c r="K35" s="2"/>
      <c r="L35" s="10">
        <f t="shared" si="1"/>
        <v>3.2888000000000002</v>
      </c>
      <c r="M35" s="4"/>
      <c r="N35" s="13">
        <f t="shared" si="0"/>
        <v>39.465600000000002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8.9999999999999993E-3</v>
      </c>
      <c r="K37" s="2"/>
      <c r="L37" s="10">
        <f t="shared" si="1"/>
        <v>5.9198399999999998</v>
      </c>
      <c r="M37" s="4"/>
      <c r="N37" s="13">
        <f t="shared" si="0"/>
        <v>71.038079999999994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5.0000000000000001E-3</v>
      </c>
      <c r="K38" s="2"/>
      <c r="L38" s="10">
        <f t="shared" si="1"/>
        <v>3.2888000000000002</v>
      </c>
      <c r="M38" s="4"/>
      <c r="N38" s="13">
        <f t="shared" si="0"/>
        <v>39.465600000000002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0.08</v>
      </c>
      <c r="K41" s="2"/>
      <c r="L41" s="10">
        <f t="shared" si="1"/>
        <v>52.620800000000003</v>
      </c>
      <c r="M41" s="4"/>
      <c r="N41" s="13">
        <f t="shared" si="0"/>
        <v>631.44960000000003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72.353600000000014</v>
      </c>
      <c r="M43" s="7"/>
      <c r="N43" s="13">
        <f t="shared" si="0"/>
        <v>868.24320000000012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3.7999999999999999E-2</v>
      </c>
      <c r="K44" s="2"/>
      <c r="L44" s="10">
        <f t="shared" si="1"/>
        <v>24.994879999999998</v>
      </c>
      <c r="M44" s="4"/>
      <c r="N44" s="13">
        <f t="shared" si="0"/>
        <v>299.93856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1.6E-2</v>
      </c>
      <c r="K45" s="2"/>
      <c r="L45" s="10">
        <f t="shared" si="1"/>
        <v>10.52416</v>
      </c>
      <c r="M45" s="4"/>
      <c r="N45" s="13">
        <f t="shared" si="0"/>
        <v>126.28992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9.8663999999999987</v>
      </c>
      <c r="M46" s="4"/>
      <c r="N46" s="13">
        <f t="shared" si="0"/>
        <v>118.39679999999998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26.968160000000001</v>
      </c>
      <c r="M47" s="4"/>
      <c r="N47" s="13">
        <f t="shared" si="0"/>
        <v>323.61792000000003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6.5776000000000003</v>
      </c>
      <c r="M49" s="7"/>
      <c r="N49" s="13">
        <f t="shared" si="0"/>
        <v>78.931200000000004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223.63840000000002</v>
      </c>
      <c r="M50" s="7"/>
      <c r="N50" s="13">
        <f t="shared" si="0"/>
        <v>2683.6608000000001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32.887999999999998</v>
      </c>
      <c r="M51" s="2"/>
      <c r="N51" s="13">
        <f t="shared" si="0"/>
        <v>394.65599999999995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4" workbookViewId="0">
      <selection activeCell="N19" sqref="N19"/>
    </sheetView>
  </sheetViews>
  <sheetFormatPr defaultRowHeight="15" x14ac:dyDescent="0.25"/>
  <cols>
    <col min="1" max="3" width="9.140625" style="1"/>
    <col min="4" max="4" width="27" style="1" customWidth="1"/>
    <col min="5" max="5" width="5" style="1" customWidth="1"/>
    <col min="6" max="6" width="3.85546875" style="1" customWidth="1"/>
    <col min="7" max="8" width="9.140625" style="1"/>
    <col min="9" max="9" width="3.85546875" style="1" customWidth="1"/>
    <col min="10" max="10" width="9.140625" style="1"/>
    <col min="11" max="11" width="4.140625" style="1" customWidth="1"/>
    <col min="12" max="12" width="9.140625" style="1"/>
    <col min="13" max="13" width="4.140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98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194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186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8.7000000000000008E-2</v>
      </c>
      <c r="K23" s="6"/>
      <c r="L23" s="7">
        <f>L24+L25+L26+L27</f>
        <v>15.886200000000001</v>
      </c>
      <c r="M23" s="6"/>
      <c r="N23" s="13">
        <f>L23*12</f>
        <v>190.6344</v>
      </c>
    </row>
    <row r="24" spans="1:14" ht="15.75" x14ac:dyDescent="0.25">
      <c r="A24" s="2" t="s">
        <v>32</v>
      </c>
      <c r="B24" s="2" t="s">
        <v>175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1.7000000000000001E-2</v>
      </c>
      <c r="K24" s="2"/>
      <c r="L24" s="10">
        <f>J24*182.6</f>
        <v>3.1042000000000001</v>
      </c>
      <c r="M24" s="4"/>
      <c r="N24" s="13">
        <f t="shared" ref="N24:N51" si="0">L24*12</f>
        <v>37.250399999999999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0.04</v>
      </c>
      <c r="K25" s="2"/>
      <c r="L25" s="10">
        <f>J25*182.6</f>
        <v>7.3040000000000003</v>
      </c>
      <c r="M25" s="4"/>
      <c r="N25" s="13">
        <f t="shared" si="0"/>
        <v>87.647999999999996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1.0999999999999999E-2</v>
      </c>
      <c r="K26" s="2"/>
      <c r="L26" s="10">
        <f>J26*182.6</f>
        <v>2.0085999999999999</v>
      </c>
      <c r="M26" s="4"/>
      <c r="N26" s="13">
        <f t="shared" si="0"/>
        <v>24.103200000000001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1.9E-2</v>
      </c>
      <c r="K27" s="2"/>
      <c r="L27" s="10">
        <f>J27*182.6</f>
        <v>3.4693999999999998</v>
      </c>
      <c r="M27" s="4"/>
      <c r="N27" s="13">
        <f t="shared" si="0"/>
        <v>41.632799999999996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</f>
        <v>0.1132</v>
      </c>
      <c r="K29" s="6"/>
      <c r="L29" s="7">
        <f>J29*182.6</f>
        <v>20.670319999999997</v>
      </c>
      <c r="M29" s="7"/>
      <c r="N29" s="13">
        <f t="shared" si="0"/>
        <v>248.04383999999996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8.9999999999999993E-3</v>
      </c>
      <c r="K31" s="2"/>
      <c r="L31" s="10">
        <f t="shared" ref="L31:L51" si="1">J31*182.6</f>
        <v>1.6433999999999997</v>
      </c>
      <c r="M31" s="4"/>
      <c r="N31" s="13">
        <f t="shared" si="0"/>
        <v>19.720799999999997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1.6E-2</v>
      </c>
      <c r="K32" s="2"/>
      <c r="L32" s="10">
        <f t="shared" si="1"/>
        <v>2.9215999999999998</v>
      </c>
      <c r="M32" s="4"/>
      <c r="N32" s="13">
        <f t="shared" si="0"/>
        <v>35.059199999999997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9.1999999999999998E-3</v>
      </c>
      <c r="K37" s="2"/>
      <c r="L37" s="10">
        <f t="shared" si="1"/>
        <v>1.6799199999999999</v>
      </c>
      <c r="M37" s="4"/>
      <c r="N37" s="13">
        <f t="shared" si="0"/>
        <v>20.159039999999997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1.2999999999999999E-2</v>
      </c>
      <c r="K38" s="2"/>
      <c r="L38" s="10">
        <f t="shared" si="1"/>
        <v>2.3737999999999997</v>
      </c>
      <c r="M38" s="4"/>
      <c r="N38" s="13">
        <f t="shared" si="0"/>
        <v>28.485599999999998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6.6000000000000003E-2</v>
      </c>
      <c r="K41" s="2"/>
      <c r="L41" s="10">
        <f t="shared" si="1"/>
        <v>12.051600000000001</v>
      </c>
      <c r="M41" s="4"/>
      <c r="N41" s="13">
        <f t="shared" si="0"/>
        <v>144.61920000000001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J45+J46+J47+J44</f>
        <v>0.11000000000000001</v>
      </c>
      <c r="K43" s="6"/>
      <c r="L43" s="7">
        <f t="shared" si="1"/>
        <v>20.086000000000002</v>
      </c>
      <c r="M43" s="7"/>
      <c r="N43" s="13">
        <f t="shared" si="0"/>
        <v>241.03200000000004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7.1213999999999995</v>
      </c>
      <c r="M44" s="4"/>
      <c r="N44" s="13">
        <f t="shared" si="0"/>
        <v>85.456799999999987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2.7389999999999999</v>
      </c>
      <c r="M45" s="4"/>
      <c r="N45" s="13">
        <f t="shared" si="0"/>
        <v>32.867999999999995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2.7389999999999999</v>
      </c>
      <c r="M46" s="4"/>
      <c r="N46" s="13">
        <f t="shared" si="0"/>
        <v>32.867999999999995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7.4866000000000001</v>
      </c>
      <c r="M47" s="4"/>
      <c r="N47" s="13">
        <f t="shared" si="0"/>
        <v>89.839200000000005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1.8260000000000001</v>
      </c>
      <c r="M49" s="7"/>
      <c r="N49" s="13">
        <f t="shared" si="0"/>
        <v>21.911999999999999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0.32</v>
      </c>
      <c r="K50" s="6"/>
      <c r="L50" s="7">
        <f t="shared" si="1"/>
        <v>58.432000000000002</v>
      </c>
      <c r="M50" s="7"/>
      <c r="N50" s="13">
        <f t="shared" si="0"/>
        <v>701.18399999999997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12.782</v>
      </c>
      <c r="M51" s="2"/>
      <c r="N51" s="13">
        <f t="shared" si="0"/>
        <v>153.38400000000001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1" workbookViewId="0">
      <selection activeCell="N19" sqref="N19"/>
    </sheetView>
  </sheetViews>
  <sheetFormatPr defaultRowHeight="15" x14ac:dyDescent="0.25"/>
  <cols>
    <col min="1" max="3" width="9.140625" style="1"/>
    <col min="4" max="4" width="27.140625" style="1" customWidth="1"/>
    <col min="5" max="5" width="4.7109375" style="1" customWidth="1"/>
    <col min="6" max="6" width="4.140625" style="1" customWidth="1"/>
    <col min="7" max="8" width="9.140625" style="1"/>
    <col min="9" max="9" width="4.140625" style="1" customWidth="1"/>
    <col min="10" max="10" width="9.140625" style="1"/>
    <col min="11" max="11" width="4.28515625" style="1" customWidth="1"/>
    <col min="12" max="12" width="11.5703125" style="1" bestFit="1" customWidth="1"/>
    <col min="13" max="13" width="4.140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99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226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100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101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102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178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0.108</v>
      </c>
      <c r="K23" s="6"/>
      <c r="L23" s="7">
        <f>L24+L25+L26+L27</f>
        <v>57.661199999999994</v>
      </c>
      <c r="M23" s="6"/>
      <c r="N23" s="13">
        <f>L23*12</f>
        <v>691.93439999999987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7.3999999999999996E-2</v>
      </c>
      <c r="K24" s="2"/>
      <c r="L24" s="10">
        <f>J24*533.9</f>
        <v>39.508599999999994</v>
      </c>
      <c r="M24" s="4"/>
      <c r="N24" s="13">
        <f t="shared" ref="N24:N51" si="0">L24*12</f>
        <v>474.1031999999999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1.6E-2</v>
      </c>
      <c r="K25" s="2"/>
      <c r="L25" s="10">
        <f>J25*533.9</f>
        <v>8.5424000000000007</v>
      </c>
      <c r="M25" s="4"/>
      <c r="N25" s="13">
        <f t="shared" si="0"/>
        <v>102.50880000000001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1.2E-2</v>
      </c>
      <c r="K26" s="2"/>
      <c r="L26" s="10">
        <f>J26*533.9</f>
        <v>6.4067999999999996</v>
      </c>
      <c r="M26" s="4"/>
      <c r="N26" s="13">
        <f t="shared" si="0"/>
        <v>76.881599999999992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6.0000000000000001E-3</v>
      </c>
      <c r="K27" s="2"/>
      <c r="L27" s="10">
        <f>J27*533.9</f>
        <v>3.2033999999999998</v>
      </c>
      <c r="M27" s="4"/>
      <c r="N27" s="13">
        <f t="shared" si="0"/>
        <v>38.440799999999996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0.11210000000000001</v>
      </c>
      <c r="K29" s="6"/>
      <c r="L29" s="7">
        <f>J29*533.9</f>
        <v>59.850189999999998</v>
      </c>
      <c r="M29" s="7"/>
      <c r="N29" s="13">
        <f t="shared" si="0"/>
        <v>718.20227999999997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9.7999999999999997E-3</v>
      </c>
      <c r="K31" s="2"/>
      <c r="L31" s="10">
        <f t="shared" ref="L31:L51" si="1">J31*533.9</f>
        <v>5.2322199999999999</v>
      </c>
      <c r="M31" s="4"/>
      <c r="N31" s="13">
        <f t="shared" si="0"/>
        <v>62.786639999999998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2E-3</v>
      </c>
      <c r="K32" s="2"/>
      <c r="L32" s="10">
        <f t="shared" si="1"/>
        <v>1.0678000000000001</v>
      </c>
      <c r="M32" s="4"/>
      <c r="N32" s="13">
        <f t="shared" si="0"/>
        <v>12.813600000000001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1.17E-2</v>
      </c>
      <c r="K34" s="2"/>
      <c r="L34" s="10">
        <f t="shared" si="1"/>
        <v>6.2466299999999997</v>
      </c>
      <c r="M34" s="4"/>
      <c r="N34" s="13">
        <f t="shared" si="0"/>
        <v>74.959559999999996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3.0000000000000001E-3</v>
      </c>
      <c r="K35" s="2"/>
      <c r="L35" s="10">
        <f t="shared" si="1"/>
        <v>1.6016999999999999</v>
      </c>
      <c r="M35" s="4"/>
      <c r="N35" s="13">
        <f t="shared" si="0"/>
        <v>19.220399999999998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1"/>
        <v>5.1254399999999993</v>
      </c>
      <c r="M37" s="4"/>
      <c r="N37" s="13">
        <f t="shared" si="0"/>
        <v>61.505279999999992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1E-3</v>
      </c>
      <c r="K38" s="2"/>
      <c r="L38" s="10">
        <f t="shared" si="1"/>
        <v>0.53390000000000004</v>
      </c>
      <c r="M38" s="4"/>
      <c r="N38" s="13">
        <f t="shared" si="0"/>
        <v>6.4068000000000005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7.4999999999999997E-2</v>
      </c>
      <c r="K41" s="2"/>
      <c r="L41" s="10">
        <f t="shared" si="1"/>
        <v>40.042499999999997</v>
      </c>
      <c r="M41" s="4"/>
      <c r="N41" s="13">
        <f t="shared" si="0"/>
        <v>480.51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58.729000000000006</v>
      </c>
      <c r="M43" s="7"/>
      <c r="N43" s="13">
        <f t="shared" si="0"/>
        <v>704.74800000000005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20.822099999999999</v>
      </c>
      <c r="M44" s="4"/>
      <c r="N44" s="13">
        <f t="shared" si="0"/>
        <v>249.86519999999999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8.0084999999999997</v>
      </c>
      <c r="M45" s="4"/>
      <c r="N45" s="13">
        <f t="shared" si="0"/>
        <v>96.102000000000004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8.0084999999999997</v>
      </c>
      <c r="M46" s="4"/>
      <c r="N46" s="13">
        <f t="shared" si="0"/>
        <v>96.102000000000004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21.889900000000001</v>
      </c>
      <c r="M47" s="4"/>
      <c r="N47" s="13">
        <f t="shared" si="0"/>
        <v>262.67880000000002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5.3389999999999995</v>
      </c>
      <c r="M49" s="7"/>
      <c r="N49" s="13">
        <f t="shared" si="0"/>
        <v>64.067999999999998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181.52600000000001</v>
      </c>
      <c r="M50" s="7"/>
      <c r="N50" s="13">
        <f t="shared" si="0"/>
        <v>2178.3119999999999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26.695</v>
      </c>
      <c r="M51" s="2"/>
      <c r="N51" s="13">
        <f t="shared" si="0"/>
        <v>320.34000000000003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4" workbookViewId="0">
      <selection activeCell="N19" sqref="N19"/>
    </sheetView>
  </sheetViews>
  <sheetFormatPr defaultRowHeight="15" x14ac:dyDescent="0.25"/>
  <cols>
    <col min="1" max="3" width="9.140625" style="1"/>
    <col min="4" max="4" width="28" style="1" customWidth="1"/>
    <col min="5" max="5" width="5.5703125" style="1" customWidth="1"/>
    <col min="6" max="6" width="4" style="1" customWidth="1"/>
    <col min="7" max="8" width="9.140625" style="1"/>
    <col min="9" max="9" width="4.140625" style="1" customWidth="1"/>
    <col min="10" max="10" width="9.140625" style="1"/>
    <col min="11" max="11" width="4.28515625" style="1" customWidth="1"/>
    <col min="12" max="12" width="9.140625" style="1"/>
    <col min="13" max="13" width="3.8554687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103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225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104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105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106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 t="s">
        <v>107</v>
      </c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179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0.159</v>
      </c>
      <c r="K23" s="6"/>
      <c r="L23" s="7">
        <f>L24+L25+L26+L27</f>
        <v>240.3921</v>
      </c>
      <c r="M23" s="6"/>
      <c r="N23" s="13">
        <f>L23*12</f>
        <v>2884.7051999999999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0.126</v>
      </c>
      <c r="K24" s="2"/>
      <c r="L24" s="10">
        <f>J24*1511.9</f>
        <v>190.49940000000001</v>
      </c>
      <c r="M24" s="4"/>
      <c r="N24" s="13">
        <f t="shared" ref="N24:N51" si="0">L24*12</f>
        <v>2285.9928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2.3E-2</v>
      </c>
      <c r="K25" s="2"/>
      <c r="L25" s="10">
        <f>J25*1511.9</f>
        <v>34.773699999999998</v>
      </c>
      <c r="M25" s="4"/>
      <c r="N25" s="13">
        <f t="shared" si="0"/>
        <v>417.28440000000001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8.0000000000000002E-3</v>
      </c>
      <c r="K26" s="2"/>
      <c r="L26" s="10">
        <f>J26*1511.9</f>
        <v>12.0952</v>
      </c>
      <c r="M26" s="4"/>
      <c r="N26" s="13">
        <f t="shared" si="0"/>
        <v>145.14240000000001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2E-3</v>
      </c>
      <c r="K27" s="2"/>
      <c r="L27" s="10">
        <f>J27*1511.9</f>
        <v>3.0238</v>
      </c>
      <c r="M27" s="4"/>
      <c r="N27" s="13">
        <f t="shared" si="0"/>
        <v>36.285600000000002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6.0999999999999999E-2</v>
      </c>
      <c r="K29" s="6"/>
      <c r="L29" s="7">
        <f>J29*1511.9</f>
        <v>92.22590000000001</v>
      </c>
      <c r="M29" s="7"/>
      <c r="N29" s="13">
        <f t="shared" si="0"/>
        <v>1106.7108000000001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8.9999999999999993E-3</v>
      </c>
      <c r="K31" s="2"/>
      <c r="L31" s="10">
        <f t="shared" ref="L31:L51" si="1">J31*1511.9</f>
        <v>13.607099999999999</v>
      </c>
      <c r="M31" s="4"/>
      <c r="N31" s="13">
        <f t="shared" si="0"/>
        <v>163.28519999999997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6.0000000000000001E-3</v>
      </c>
      <c r="K32" s="2"/>
      <c r="L32" s="10">
        <f t="shared" si="1"/>
        <v>9.0714000000000006</v>
      </c>
      <c r="M32" s="4"/>
      <c r="N32" s="13">
        <f t="shared" si="0"/>
        <v>108.85680000000001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1.15E-2</v>
      </c>
      <c r="K34" s="2"/>
      <c r="L34" s="10">
        <f t="shared" si="1"/>
        <v>17.386849999999999</v>
      </c>
      <c r="M34" s="4"/>
      <c r="N34" s="13">
        <f t="shared" si="0"/>
        <v>208.6422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3.0000000000000001E-3</v>
      </c>
      <c r="K35" s="2"/>
      <c r="L35" s="10">
        <f t="shared" si="1"/>
        <v>4.5357000000000003</v>
      </c>
      <c r="M35" s="4"/>
      <c r="N35" s="13">
        <f t="shared" si="0"/>
        <v>54.428400000000003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9.4999999999999998E-3</v>
      </c>
      <c r="K37" s="2"/>
      <c r="L37" s="10">
        <f t="shared" si="1"/>
        <v>14.363050000000001</v>
      </c>
      <c r="M37" s="4"/>
      <c r="N37" s="13">
        <f t="shared" si="0"/>
        <v>172.35660000000001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5.0000000000000001E-3</v>
      </c>
      <c r="K38" s="2"/>
      <c r="L38" s="10">
        <f t="shared" si="1"/>
        <v>7.5595000000000008</v>
      </c>
      <c r="M38" s="4"/>
      <c r="N38" s="13">
        <f t="shared" si="0"/>
        <v>90.714000000000013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1.7000000000000001E-2</v>
      </c>
      <c r="K41" s="2"/>
      <c r="L41" s="10">
        <f t="shared" si="1"/>
        <v>25.702300000000005</v>
      </c>
      <c r="M41" s="4"/>
      <c r="N41" s="13">
        <f t="shared" si="0"/>
        <v>308.42760000000004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166.30900000000003</v>
      </c>
      <c r="M43" s="7"/>
      <c r="N43" s="13">
        <f t="shared" si="0"/>
        <v>1995.7080000000003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58.964100000000002</v>
      </c>
      <c r="M44" s="4"/>
      <c r="N44" s="13">
        <f t="shared" si="0"/>
        <v>707.56920000000002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22.6785</v>
      </c>
      <c r="M45" s="4"/>
      <c r="N45" s="13">
        <f t="shared" si="0"/>
        <v>272.142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22.6785</v>
      </c>
      <c r="M46" s="4"/>
      <c r="N46" s="13">
        <f t="shared" si="0"/>
        <v>272.142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61.987900000000003</v>
      </c>
      <c r="M47" s="4"/>
      <c r="N47" s="13">
        <f t="shared" si="0"/>
        <v>743.85480000000007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15.119000000000002</v>
      </c>
      <c r="M49" s="7"/>
      <c r="N49" s="13">
        <f t="shared" si="0"/>
        <v>181.42800000000003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514.04600000000005</v>
      </c>
      <c r="M50" s="7"/>
      <c r="N50" s="13">
        <f t="shared" si="0"/>
        <v>6168.5520000000006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75.595000000000013</v>
      </c>
      <c r="M51" s="2"/>
      <c r="N51" s="13">
        <f t="shared" si="0"/>
        <v>907.1400000000001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4" workbookViewId="0">
      <selection activeCell="N19" sqref="N19"/>
    </sheetView>
  </sheetViews>
  <sheetFormatPr defaultRowHeight="15" x14ac:dyDescent="0.25"/>
  <cols>
    <col min="1" max="3" width="9.140625" style="1"/>
    <col min="4" max="4" width="27.85546875" style="1" customWidth="1"/>
    <col min="5" max="5" width="5.28515625" style="1" customWidth="1"/>
    <col min="6" max="6" width="4.42578125" style="1" customWidth="1"/>
    <col min="7" max="8" width="9.140625" style="1"/>
    <col min="9" max="9" width="4.5703125" style="1" customWidth="1"/>
    <col min="10" max="10" width="9.140625" style="1"/>
    <col min="11" max="11" width="4.28515625" style="1" customWidth="1"/>
    <col min="12" max="12" width="9.140625" style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109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224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110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111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178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0.11600000000000001</v>
      </c>
      <c r="K23" s="6"/>
      <c r="L23" s="7">
        <f>L24+L25+L26+L27</f>
        <v>65.308000000000007</v>
      </c>
      <c r="M23" s="6"/>
      <c r="N23" s="13">
        <f>L23*12</f>
        <v>783.69600000000014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7.0000000000000007E-2</v>
      </c>
      <c r="K24" s="2"/>
      <c r="L24" s="10">
        <f>J24*563</f>
        <v>39.410000000000004</v>
      </c>
      <c r="M24" s="4"/>
      <c r="N24" s="13">
        <f t="shared" ref="N24:N51" si="0">L24*12</f>
        <v>472.92000000000007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2.9000000000000001E-2</v>
      </c>
      <c r="K25" s="2"/>
      <c r="L25" s="10">
        <f>J25*563</f>
        <v>16.327000000000002</v>
      </c>
      <c r="M25" s="4"/>
      <c r="N25" s="13">
        <f t="shared" si="0"/>
        <v>195.92400000000004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1.0999999999999999E-2</v>
      </c>
      <c r="K26" s="2"/>
      <c r="L26" s="10">
        <f>+J26*563</f>
        <v>6.1929999999999996</v>
      </c>
      <c r="M26" s="4"/>
      <c r="N26" s="13">
        <f t="shared" si="0"/>
        <v>74.316000000000003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6.0000000000000001E-3</v>
      </c>
      <c r="K27" s="2"/>
      <c r="L27" s="10">
        <f>J27*563</f>
        <v>3.3780000000000001</v>
      </c>
      <c r="M27" s="4"/>
      <c r="N27" s="13">
        <f t="shared" si="0"/>
        <v>40.536000000000001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0.105</v>
      </c>
      <c r="K29" s="6"/>
      <c r="L29" s="7">
        <f>J29*563</f>
        <v>59.114999999999995</v>
      </c>
      <c r="M29" s="7"/>
      <c r="N29" s="13">
        <f t="shared" si="0"/>
        <v>709.37999999999988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8.9999999999999993E-3</v>
      </c>
      <c r="K31" s="2"/>
      <c r="L31" s="10">
        <f t="shared" ref="L31:L51" si="1">J31*563</f>
        <v>5.0669999999999993</v>
      </c>
      <c r="M31" s="4"/>
      <c r="N31" s="13">
        <f t="shared" si="0"/>
        <v>60.803999999999988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0.01</v>
      </c>
      <c r="K32" s="2"/>
      <c r="L32" s="10">
        <f t="shared" si="1"/>
        <v>5.63</v>
      </c>
      <c r="M32" s="4"/>
      <c r="N32" s="13">
        <f t="shared" si="0"/>
        <v>67.56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1.1299999999999999E-2</v>
      </c>
      <c r="K34" s="2"/>
      <c r="L34" s="10">
        <f t="shared" si="1"/>
        <v>6.3618999999999994</v>
      </c>
      <c r="M34" s="4"/>
      <c r="N34" s="13">
        <f t="shared" si="0"/>
        <v>76.342799999999997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4.0000000000000001E-3</v>
      </c>
      <c r="K35" s="2"/>
      <c r="L35" s="10">
        <f t="shared" si="1"/>
        <v>2.2520000000000002</v>
      </c>
      <c r="M35" s="4"/>
      <c r="N35" s="13">
        <f t="shared" si="0"/>
        <v>27.024000000000001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9.7000000000000003E-3</v>
      </c>
      <c r="K37" s="2"/>
      <c r="L37" s="10">
        <f t="shared" si="1"/>
        <v>5.4611000000000001</v>
      </c>
      <c r="M37" s="4"/>
      <c r="N37" s="13">
        <f t="shared" si="0"/>
        <v>65.533199999999994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1E-3</v>
      </c>
      <c r="K38" s="2"/>
      <c r="L38" s="10">
        <f t="shared" si="1"/>
        <v>0.56300000000000006</v>
      </c>
      <c r="M38" s="4"/>
      <c r="N38" s="13">
        <f t="shared" si="0"/>
        <v>6.7560000000000002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0.06</v>
      </c>
      <c r="K41" s="2"/>
      <c r="L41" s="10">
        <f t="shared" si="1"/>
        <v>33.78</v>
      </c>
      <c r="M41" s="4"/>
      <c r="N41" s="13">
        <f t="shared" si="0"/>
        <v>405.36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0.10900000000000001</v>
      </c>
      <c r="K43" s="6"/>
      <c r="L43" s="7">
        <f t="shared" si="1"/>
        <v>61.367000000000004</v>
      </c>
      <c r="M43" s="7"/>
      <c r="N43" s="13">
        <f t="shared" si="0"/>
        <v>736.404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3.7999999999999999E-2</v>
      </c>
      <c r="K44" s="2"/>
      <c r="L44" s="10">
        <f t="shared" si="1"/>
        <v>21.393999999999998</v>
      </c>
      <c r="M44" s="4"/>
      <c r="N44" s="13">
        <f t="shared" si="0"/>
        <v>256.72799999999995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8.4450000000000003</v>
      </c>
      <c r="M45" s="4"/>
      <c r="N45" s="13">
        <f t="shared" si="0"/>
        <v>101.34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8.4450000000000003</v>
      </c>
      <c r="M46" s="4"/>
      <c r="N46" s="13">
        <f t="shared" si="0"/>
        <v>101.34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23.083000000000002</v>
      </c>
      <c r="M47" s="4"/>
      <c r="N47" s="13">
        <f t="shared" si="0"/>
        <v>276.99600000000004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5.63</v>
      </c>
      <c r="M49" s="7"/>
      <c r="N49" s="13">
        <f t="shared" si="0"/>
        <v>67.56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191.42000000000002</v>
      </c>
      <c r="M50" s="7"/>
      <c r="N50" s="13">
        <f t="shared" si="0"/>
        <v>2297.04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28.150000000000002</v>
      </c>
      <c r="M51" s="2"/>
      <c r="N51" s="13">
        <f t="shared" si="0"/>
        <v>337.8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4" workbookViewId="0">
      <selection activeCell="N19" sqref="N19"/>
    </sheetView>
  </sheetViews>
  <sheetFormatPr defaultRowHeight="15" x14ac:dyDescent="0.25"/>
  <cols>
    <col min="1" max="3" width="9.140625" style="1"/>
    <col min="4" max="4" width="27.7109375" style="1" customWidth="1"/>
    <col min="5" max="5" width="5.140625" style="1" customWidth="1"/>
    <col min="6" max="6" width="4.28515625" style="1" customWidth="1"/>
    <col min="7" max="8" width="9.140625" style="1"/>
    <col min="9" max="9" width="4" style="1" customWidth="1"/>
    <col min="10" max="10" width="9.140625" style="1"/>
    <col min="11" max="11" width="4.42578125" style="1" customWidth="1"/>
    <col min="12" max="12" width="11.5703125" style="1" bestFit="1" customWidth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112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223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113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114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178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0.11700000000000001</v>
      </c>
      <c r="K23" s="6"/>
      <c r="L23" s="7">
        <f>L24+L25+L26+L27</f>
        <v>61.986599999999996</v>
      </c>
      <c r="M23" s="6"/>
      <c r="N23" s="13">
        <f>L23*12</f>
        <v>743.83919999999989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7.0000000000000007E-2</v>
      </c>
      <c r="K24" s="2"/>
      <c r="L24" s="10">
        <f>J24*529.8</f>
        <v>37.085999999999999</v>
      </c>
      <c r="M24" s="4"/>
      <c r="N24" s="13">
        <f t="shared" ref="N24:N51" si="0">L24*12</f>
        <v>445.03199999999998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2.8000000000000001E-2</v>
      </c>
      <c r="K25" s="2"/>
      <c r="L25" s="10">
        <f>J25*529.8</f>
        <v>14.834399999999999</v>
      </c>
      <c r="M25" s="4"/>
      <c r="N25" s="13">
        <f t="shared" si="0"/>
        <v>178.01279999999997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1.2E-2</v>
      </c>
      <c r="K26" s="2"/>
      <c r="L26" s="10">
        <f>J26*529.8</f>
        <v>6.3575999999999997</v>
      </c>
      <c r="M26" s="4"/>
      <c r="N26" s="13">
        <f t="shared" si="0"/>
        <v>76.291200000000003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7.0000000000000001E-3</v>
      </c>
      <c r="K27" s="2"/>
      <c r="L27" s="10">
        <f>J27*529.8</f>
        <v>3.7085999999999997</v>
      </c>
      <c r="M27" s="4"/>
      <c r="N27" s="13">
        <f t="shared" si="0"/>
        <v>44.503199999999993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0.10400000000000001</v>
      </c>
      <c r="K29" s="6"/>
      <c r="L29" s="7">
        <f>J29*529.8</f>
        <v>55.099200000000003</v>
      </c>
      <c r="M29" s="7"/>
      <c r="N29" s="13">
        <f t="shared" si="0"/>
        <v>661.19040000000007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8.9999999999999993E-3</v>
      </c>
      <c r="K31" s="2"/>
      <c r="L31" s="10">
        <f t="shared" ref="L31:L51" si="1">J31*529.8</f>
        <v>4.7681999999999993</v>
      </c>
      <c r="M31" s="4"/>
      <c r="N31" s="13">
        <f t="shared" si="0"/>
        <v>57.218399999999988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2E-3</v>
      </c>
      <c r="K32" s="2"/>
      <c r="L32" s="10">
        <f t="shared" si="1"/>
        <v>1.0595999999999999</v>
      </c>
      <c r="M32" s="4"/>
      <c r="N32" s="13">
        <f t="shared" si="0"/>
        <v>12.715199999999999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1.0999999999999999E-2</v>
      </c>
      <c r="K34" s="2"/>
      <c r="L34" s="10">
        <f t="shared" si="1"/>
        <v>5.827799999999999</v>
      </c>
      <c r="M34" s="4"/>
      <c r="N34" s="13">
        <f t="shared" si="0"/>
        <v>69.933599999999984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1E-3</v>
      </c>
      <c r="K35" s="2"/>
      <c r="L35" s="10">
        <f t="shared" si="1"/>
        <v>0.52979999999999994</v>
      </c>
      <c r="M35" s="4"/>
      <c r="N35" s="13">
        <f t="shared" si="0"/>
        <v>6.3575999999999997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8.9999999999999993E-3</v>
      </c>
      <c r="K37" s="2"/>
      <c r="L37" s="10">
        <f t="shared" si="1"/>
        <v>4.7681999999999993</v>
      </c>
      <c r="M37" s="4"/>
      <c r="N37" s="13">
        <f t="shared" si="0"/>
        <v>57.218399999999988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4.0000000000000001E-3</v>
      </c>
      <c r="K38" s="2"/>
      <c r="L38" s="10">
        <f t="shared" si="1"/>
        <v>2.1191999999999998</v>
      </c>
      <c r="M38" s="4"/>
      <c r="N38" s="13">
        <f t="shared" si="0"/>
        <v>25.430399999999999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6.8000000000000005E-2</v>
      </c>
      <c r="K41" s="2"/>
      <c r="L41" s="10">
        <f t="shared" si="1"/>
        <v>36.026400000000002</v>
      </c>
      <c r="M41" s="4"/>
      <c r="N41" s="13">
        <f t="shared" si="0"/>
        <v>432.31680000000006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0.10900000000000001</v>
      </c>
      <c r="K43" s="6"/>
      <c r="L43" s="10">
        <f t="shared" si="1"/>
        <v>57.748200000000004</v>
      </c>
      <c r="M43" s="7"/>
      <c r="N43" s="13">
        <f t="shared" si="0"/>
        <v>692.97840000000008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3.7999999999999999E-2</v>
      </c>
      <c r="K44" s="2"/>
      <c r="L44" s="10">
        <f t="shared" si="1"/>
        <v>20.132399999999997</v>
      </c>
      <c r="M44" s="4"/>
      <c r="N44" s="13">
        <f t="shared" si="0"/>
        <v>241.58879999999996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7.9469999999999992</v>
      </c>
      <c r="M45" s="4"/>
      <c r="N45" s="13">
        <f t="shared" si="0"/>
        <v>95.36399999999999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7.9469999999999992</v>
      </c>
      <c r="M46" s="4"/>
      <c r="N46" s="13">
        <f t="shared" si="0"/>
        <v>95.36399999999999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21.721799999999998</v>
      </c>
      <c r="M47" s="4"/>
      <c r="N47" s="13">
        <f t="shared" si="0"/>
        <v>260.66159999999996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5.298</v>
      </c>
      <c r="M49" s="7"/>
      <c r="N49" s="13">
        <f t="shared" si="0"/>
        <v>63.576000000000001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180.13200000000001</v>
      </c>
      <c r="M50" s="7"/>
      <c r="N50" s="13">
        <f t="shared" si="0"/>
        <v>2161.5839999999998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26.49</v>
      </c>
      <c r="M51" s="2"/>
      <c r="N51" s="13">
        <f t="shared" si="0"/>
        <v>317.88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activeCell="N19" sqref="N19"/>
    </sheetView>
  </sheetViews>
  <sheetFormatPr defaultRowHeight="15" x14ac:dyDescent="0.25"/>
  <cols>
    <col min="1" max="3" width="9.140625" style="1"/>
    <col min="4" max="4" width="26.42578125" style="1" customWidth="1"/>
    <col min="5" max="5" width="4.5703125" style="1" customWidth="1"/>
    <col min="6" max="6" width="3.5703125" style="1" customWidth="1"/>
    <col min="7" max="8" width="9.140625" style="1"/>
    <col min="9" max="9" width="4.140625" style="1" customWidth="1"/>
    <col min="10" max="10" width="9.140625" style="1"/>
    <col min="11" max="11" width="4" style="1" customWidth="1"/>
    <col min="12" max="12" width="9.140625" style="1"/>
    <col min="13" max="13" width="4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115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222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</f>
        <v>3.6000000000000004E-2</v>
      </c>
      <c r="K23" s="6"/>
      <c r="L23" s="7">
        <f>J23*118.6</f>
        <v>4.2696000000000005</v>
      </c>
      <c r="M23" s="6"/>
      <c r="N23" s="13">
        <f>L23*12</f>
        <v>51.235200000000006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1.9E-2</v>
      </c>
      <c r="K25" s="2"/>
      <c r="L25" s="10">
        <f>J25*118.6</f>
        <v>2.2533999999999996</v>
      </c>
      <c r="M25" s="4"/>
      <c r="N25" s="13">
        <f t="shared" ref="N25:N51" si="0">L25*12</f>
        <v>27.040799999999997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1.7000000000000001E-2</v>
      </c>
      <c r="K26" s="2"/>
      <c r="L26" s="10">
        <f>J26*118.6</f>
        <v>2.0162</v>
      </c>
      <c r="M26" s="4"/>
      <c r="N26" s="13">
        <f t="shared" si="0"/>
        <v>24.194400000000002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10"/>
      <c r="M27" s="4"/>
      <c r="N27" s="13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</f>
        <v>0.1139</v>
      </c>
      <c r="K29" s="6"/>
      <c r="L29" s="7">
        <f>J29*118.6</f>
        <v>13.50854</v>
      </c>
      <c r="M29" s="7"/>
      <c r="N29" s="13">
        <f t="shared" si="0"/>
        <v>162.10248000000001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0.01</v>
      </c>
      <c r="K31" s="2"/>
      <c r="L31" s="10">
        <f t="shared" ref="L31:L51" si="1">J31*118.6</f>
        <v>1.1859999999999999</v>
      </c>
      <c r="M31" s="4"/>
      <c r="N31" s="13">
        <f t="shared" si="0"/>
        <v>14.231999999999999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5.0000000000000001E-3</v>
      </c>
      <c r="K32" s="2"/>
      <c r="L32" s="10">
        <f t="shared" si="1"/>
        <v>0.59299999999999997</v>
      </c>
      <c r="M32" s="4"/>
      <c r="N32" s="13">
        <f t="shared" si="0"/>
        <v>7.1159999999999997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9.9000000000000008E-3</v>
      </c>
      <c r="K37" s="2"/>
      <c r="L37" s="10">
        <f t="shared" si="1"/>
        <v>1.17414</v>
      </c>
      <c r="M37" s="4"/>
      <c r="N37" s="13">
        <f t="shared" si="0"/>
        <v>14.08968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5.0000000000000001E-3</v>
      </c>
      <c r="K38" s="2"/>
      <c r="L38" s="10">
        <f t="shared" si="1"/>
        <v>0.59299999999999997</v>
      </c>
      <c r="M38" s="4"/>
      <c r="N38" s="13">
        <f t="shared" si="0"/>
        <v>7.1159999999999997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8.4000000000000005E-2</v>
      </c>
      <c r="K41" s="2"/>
      <c r="L41" s="10">
        <f t="shared" si="1"/>
        <v>9.9624000000000006</v>
      </c>
      <c r="M41" s="4"/>
      <c r="N41" s="13">
        <f t="shared" si="0"/>
        <v>119.5488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13.046000000000001</v>
      </c>
      <c r="M43" s="7"/>
      <c r="N43" s="13">
        <f t="shared" si="0"/>
        <v>156.55200000000002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4.6254</v>
      </c>
      <c r="M44" s="4"/>
      <c r="N44" s="13">
        <f t="shared" si="0"/>
        <v>55.504800000000003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1.7789999999999999</v>
      </c>
      <c r="M45" s="4"/>
      <c r="N45" s="13">
        <f t="shared" si="0"/>
        <v>21.347999999999999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1.7789999999999999</v>
      </c>
      <c r="M46" s="4"/>
      <c r="N46" s="13">
        <f t="shared" si="0"/>
        <v>21.347999999999999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4.8625999999999996</v>
      </c>
      <c r="M47" s="4"/>
      <c r="N47" s="13">
        <f t="shared" si="0"/>
        <v>58.351199999999992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1.1859999999999999</v>
      </c>
      <c r="M49" s="7"/>
      <c r="N49" s="13">
        <f t="shared" si="0"/>
        <v>14.231999999999999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0.27</v>
      </c>
      <c r="K50" s="6"/>
      <c r="L50" s="7">
        <f t="shared" si="1"/>
        <v>32.021999999999998</v>
      </c>
      <c r="M50" s="7"/>
      <c r="N50" s="13">
        <f t="shared" si="0"/>
        <v>384.26400000000001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8.3019999999999996</v>
      </c>
      <c r="M51" s="2"/>
      <c r="N51" s="13">
        <f t="shared" si="0"/>
        <v>99.623999999999995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activeCell="N19" sqref="N19"/>
    </sheetView>
  </sheetViews>
  <sheetFormatPr defaultRowHeight="15" x14ac:dyDescent="0.25"/>
  <cols>
    <col min="1" max="3" width="9.140625" style="1"/>
    <col min="4" max="4" width="26.85546875" style="1" customWidth="1"/>
    <col min="5" max="5" width="4.7109375" style="1" customWidth="1"/>
    <col min="6" max="6" width="3.85546875" style="1" customWidth="1"/>
    <col min="7" max="8" width="9.140625" style="1"/>
    <col min="9" max="9" width="3.7109375" style="1" customWidth="1"/>
    <col min="10" max="10" width="9.140625" style="1"/>
    <col min="11" max="11" width="4.42578125" style="1" customWidth="1"/>
    <col min="12" max="12" width="9.140625" style="1"/>
    <col min="13" max="13" width="3.710937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116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199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J25+J26+J27</f>
        <v>4.1999999999999996E-2</v>
      </c>
      <c r="K23" s="6"/>
      <c r="L23" s="7">
        <f>J23*223.7</f>
        <v>9.3953999999999986</v>
      </c>
      <c r="M23" s="6"/>
      <c r="N23" s="13">
        <f>L23*12</f>
        <v>112.74479999999998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1.2999999999999999E-2</v>
      </c>
      <c r="K25" s="2"/>
      <c r="L25" s="10">
        <f>J25*223.7</f>
        <v>2.9080999999999997</v>
      </c>
      <c r="M25" s="4"/>
      <c r="N25" s="13">
        <f t="shared" ref="N25:N51" si="0">L25*12</f>
        <v>34.897199999999998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1.2999999999999999E-2</v>
      </c>
      <c r="K26" s="2"/>
      <c r="L26" s="10">
        <f>J26*223.7</f>
        <v>2.9080999999999997</v>
      </c>
      <c r="M26" s="4"/>
      <c r="N26" s="13">
        <f t="shared" si="0"/>
        <v>34.897199999999998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1.6E-2</v>
      </c>
      <c r="K27" s="2"/>
      <c r="L27" s="10">
        <f>J27*223.7</f>
        <v>3.5791999999999997</v>
      </c>
      <c r="M27" s="4"/>
      <c r="N27" s="13">
        <f t="shared" si="0"/>
        <v>42.950399999999995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</f>
        <v>0.10780000000000001</v>
      </c>
      <c r="K29" s="6"/>
      <c r="L29" s="7">
        <f>J29*223.7</f>
        <v>24.11486</v>
      </c>
      <c r="M29" s="7"/>
      <c r="N29" s="13">
        <f t="shared" si="0"/>
        <v>289.37832000000003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>J31*223.7</f>
        <v>2.2146300000000001</v>
      </c>
      <c r="M31" s="4"/>
      <c r="N31" s="13">
        <f t="shared" si="0"/>
        <v>26.575560000000003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5.0000000000000001E-3</v>
      </c>
      <c r="K32" s="2"/>
      <c r="L32" s="10">
        <f t="shared" ref="L32:L51" si="1">J32*223.7</f>
        <v>1.1185</v>
      </c>
      <c r="M32" s="4"/>
      <c r="N32" s="13">
        <f t="shared" si="0"/>
        <v>13.422000000000001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9.9000000000000008E-3</v>
      </c>
      <c r="K37" s="2"/>
      <c r="L37" s="10">
        <f t="shared" si="1"/>
        <v>2.2146300000000001</v>
      </c>
      <c r="M37" s="4"/>
      <c r="N37" s="13">
        <f t="shared" si="0"/>
        <v>26.575560000000003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1.2999999999999999E-2</v>
      </c>
      <c r="K38" s="2"/>
      <c r="L38" s="10">
        <f t="shared" si="1"/>
        <v>2.9080999999999997</v>
      </c>
      <c r="M38" s="4"/>
      <c r="N38" s="13">
        <f t="shared" si="0"/>
        <v>34.897199999999998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7.0000000000000007E-2</v>
      </c>
      <c r="K41" s="2"/>
      <c r="L41" s="10">
        <f t="shared" si="1"/>
        <v>15.659000000000001</v>
      </c>
      <c r="M41" s="4"/>
      <c r="N41" s="13">
        <f t="shared" si="0"/>
        <v>187.90800000000002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24.607000000000003</v>
      </c>
      <c r="M43" s="7"/>
      <c r="N43" s="13">
        <f t="shared" si="0"/>
        <v>295.28400000000005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8.7242999999999995</v>
      </c>
      <c r="M44" s="4"/>
      <c r="N44" s="13">
        <f t="shared" si="0"/>
        <v>104.69159999999999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3.3554999999999997</v>
      </c>
      <c r="M45" s="4"/>
      <c r="N45" s="13">
        <f t="shared" si="0"/>
        <v>40.265999999999998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3.3554999999999997</v>
      </c>
      <c r="M46" s="4"/>
      <c r="N46" s="13">
        <f t="shared" si="0"/>
        <v>40.265999999999998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9.1716999999999995</v>
      </c>
      <c r="M47" s="4"/>
      <c r="N47" s="13">
        <f t="shared" si="0"/>
        <v>110.06039999999999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>
        <f t="shared" si="1"/>
        <v>0</v>
      </c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2.2370000000000001</v>
      </c>
      <c r="M49" s="7"/>
      <c r="N49" s="13">
        <f t="shared" si="0"/>
        <v>26.844000000000001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0.27</v>
      </c>
      <c r="K50" s="6"/>
      <c r="L50" s="7">
        <f t="shared" si="1"/>
        <v>60.399000000000001</v>
      </c>
      <c r="M50" s="7"/>
      <c r="N50" s="13">
        <f t="shared" si="0"/>
        <v>724.78800000000001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15.659000000000001</v>
      </c>
      <c r="M51" s="2"/>
      <c r="N51" s="13">
        <f t="shared" si="0"/>
        <v>187.90800000000002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4" workbookViewId="0">
      <selection activeCell="N27" sqref="N27"/>
    </sheetView>
  </sheetViews>
  <sheetFormatPr defaultRowHeight="15" x14ac:dyDescent="0.25"/>
  <cols>
    <col min="1" max="3" width="9.140625" style="1"/>
    <col min="4" max="4" width="27.85546875" style="1" customWidth="1"/>
    <col min="5" max="5" width="5.140625" style="1" customWidth="1"/>
    <col min="6" max="6" width="4.42578125" style="1" customWidth="1"/>
    <col min="7" max="8" width="9.140625" style="1"/>
    <col min="9" max="9" width="3.85546875" style="1" customWidth="1"/>
    <col min="10" max="10" width="9.140625" style="1"/>
    <col min="11" max="11" width="4.28515625" style="1" customWidth="1"/>
    <col min="12" max="12" width="9.140625" style="1"/>
    <col min="13" max="13" width="4.140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117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221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118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119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120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176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0.11</v>
      </c>
      <c r="K23" s="6"/>
      <c r="L23" s="7">
        <f>L24+L25+L26+L27</f>
        <v>252.76900000000001</v>
      </c>
      <c r="M23" s="6"/>
      <c r="N23" s="13">
        <f>L23*12</f>
        <v>3033.2280000000001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9.1999999999999998E-2</v>
      </c>
      <c r="K24" s="2"/>
      <c r="L24" s="10">
        <f>J24*2297.9</f>
        <v>211.4068</v>
      </c>
      <c r="M24" s="4"/>
      <c r="N24" s="13">
        <f t="shared" ref="N24:N51" si="0">L24*12</f>
        <v>2536.8816000000002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7.0000000000000001E-3</v>
      </c>
      <c r="K25" s="2"/>
      <c r="L25" s="10">
        <f>J25*2297.9</f>
        <v>16.0853</v>
      </c>
      <c r="M25" s="4"/>
      <c r="N25" s="13">
        <f t="shared" si="0"/>
        <v>193.02359999999999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8.9999999999999993E-3</v>
      </c>
      <c r="K26" s="2"/>
      <c r="L26" s="10">
        <f>J26*2297.9</f>
        <v>20.681100000000001</v>
      </c>
      <c r="M26" s="4"/>
      <c r="N26" s="13">
        <f t="shared" si="0"/>
        <v>248.17320000000001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2E-3</v>
      </c>
      <c r="K27" s="2"/>
      <c r="L27" s="10">
        <f>J27*2297.9</f>
        <v>4.5958000000000006</v>
      </c>
      <c r="M27" s="4"/>
      <c r="N27" s="13">
        <f t="shared" si="0"/>
        <v>55.149600000000007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0.11</v>
      </c>
      <c r="K29" s="6"/>
      <c r="L29" s="7">
        <f>J29*2297.9</f>
        <v>252.76900000000001</v>
      </c>
      <c r="M29" s="7"/>
      <c r="N29" s="13">
        <f t="shared" si="0"/>
        <v>3033.2280000000001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9.7000000000000003E-3</v>
      </c>
      <c r="K31" s="2"/>
      <c r="L31" s="10">
        <f t="shared" ref="L31:L51" si="1">J31*2297.9</f>
        <v>22.289630000000002</v>
      </c>
      <c r="M31" s="4"/>
      <c r="N31" s="13">
        <f t="shared" si="0"/>
        <v>267.47556000000003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0.01</v>
      </c>
      <c r="K32" s="2"/>
      <c r="L32" s="10">
        <f t="shared" si="1"/>
        <v>22.979000000000003</v>
      </c>
      <c r="M32" s="4"/>
      <c r="N32" s="13">
        <f t="shared" si="0"/>
        <v>275.74800000000005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1.17E-2</v>
      </c>
      <c r="K34" s="2"/>
      <c r="L34" s="10">
        <f t="shared" si="1"/>
        <v>26.885430000000003</v>
      </c>
      <c r="M34" s="4"/>
      <c r="N34" s="13">
        <f t="shared" si="0"/>
        <v>322.62516000000005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1.7000000000000001E-2</v>
      </c>
      <c r="K35" s="2"/>
      <c r="L35" s="10">
        <f t="shared" si="1"/>
        <v>39.064300000000003</v>
      </c>
      <c r="M35" s="4"/>
      <c r="N35" s="13">
        <f t="shared" si="0"/>
        <v>468.77160000000003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1"/>
        <v>22.059839999999998</v>
      </c>
      <c r="M37" s="4"/>
      <c r="N37" s="13">
        <f t="shared" si="0"/>
        <v>264.71807999999999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6.0000000000000001E-3</v>
      </c>
      <c r="K38" s="2"/>
      <c r="L38" s="10">
        <f t="shared" si="1"/>
        <v>13.787400000000002</v>
      </c>
      <c r="M38" s="4"/>
      <c r="N38" s="13">
        <f t="shared" si="0"/>
        <v>165.44880000000001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4.5999999999999999E-2</v>
      </c>
      <c r="K41" s="2"/>
      <c r="L41" s="10">
        <f t="shared" si="1"/>
        <v>105.7034</v>
      </c>
      <c r="M41" s="4"/>
      <c r="N41" s="13">
        <f t="shared" si="0"/>
        <v>1268.4408000000001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252.76900000000003</v>
      </c>
      <c r="M43" s="7"/>
      <c r="N43" s="13">
        <f t="shared" si="0"/>
        <v>3033.2280000000005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89.618099999999998</v>
      </c>
      <c r="M44" s="4"/>
      <c r="N44" s="13">
        <f t="shared" si="0"/>
        <v>1075.4171999999999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34.468499999999999</v>
      </c>
      <c r="M45" s="4"/>
      <c r="N45" s="13">
        <f t="shared" si="0"/>
        <v>413.62199999999996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34.468499999999999</v>
      </c>
      <c r="M46" s="4"/>
      <c r="N46" s="13">
        <f t="shared" si="0"/>
        <v>413.62199999999996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94.21390000000001</v>
      </c>
      <c r="M47" s="4"/>
      <c r="N47" s="13">
        <f t="shared" si="0"/>
        <v>1130.5668000000001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22.979000000000003</v>
      </c>
      <c r="M49" s="7"/>
      <c r="N49" s="13">
        <f t="shared" si="0"/>
        <v>275.74800000000005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781.28600000000006</v>
      </c>
      <c r="M50" s="7"/>
      <c r="N50" s="13">
        <f t="shared" si="0"/>
        <v>9375.4320000000007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160.85300000000001</v>
      </c>
      <c r="M51" s="2"/>
      <c r="N51" s="13">
        <f t="shared" si="0"/>
        <v>1930.2360000000001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0" workbookViewId="0">
      <selection activeCell="I27" sqref="I27"/>
    </sheetView>
  </sheetViews>
  <sheetFormatPr defaultRowHeight="15" x14ac:dyDescent="0.25"/>
  <cols>
    <col min="1" max="3" width="9.140625" style="1"/>
    <col min="4" max="4" width="23.5703125" style="1" customWidth="1"/>
    <col min="5" max="5" width="9.140625" style="1"/>
    <col min="6" max="6" width="5" style="1" customWidth="1"/>
    <col min="7" max="8" width="9.140625" style="1"/>
    <col min="9" max="9" width="6" style="1" customWidth="1"/>
    <col min="10" max="10" width="9.140625" style="1"/>
    <col min="11" max="11" width="4.5703125" style="1" customWidth="1"/>
    <col min="12" max="12" width="9.140625" style="1"/>
    <col min="13" max="13" width="3.57031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209</v>
      </c>
    </row>
    <row r="5" spans="1:14" ht="18.75" x14ac:dyDescent="0.3">
      <c r="A5" s="1" t="s">
        <v>1</v>
      </c>
      <c r="D5" s="8" t="s">
        <v>79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227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80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81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82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83</v>
      </c>
      <c r="C13" s="2"/>
      <c r="D13" s="2"/>
      <c r="E13" s="2"/>
      <c r="F13" s="2"/>
      <c r="G13" s="2" t="s">
        <v>181</v>
      </c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0.13800000000000001</v>
      </c>
      <c r="K23" s="6"/>
      <c r="L23" s="7">
        <f>L24+L25+L26+L27</f>
        <v>164.19239999999999</v>
      </c>
      <c r="M23" s="6"/>
      <c r="N23" s="13">
        <f>L23*12</f>
        <v>1970.3087999999998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9.7000000000000003E-2</v>
      </c>
      <c r="K24" s="2"/>
      <c r="L24" s="10">
        <f>J24*1189.8</f>
        <v>115.4106</v>
      </c>
      <c r="M24" s="4"/>
      <c r="N24" s="13">
        <f t="shared" ref="N24:N51" si="0">L24*12</f>
        <v>1384.9272000000001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1.7999999999999999E-2</v>
      </c>
      <c r="K25" s="2"/>
      <c r="L25" s="10">
        <f>J25*1189.8</f>
        <v>21.416399999999996</v>
      </c>
      <c r="M25" s="4"/>
      <c r="N25" s="13">
        <f t="shared" si="0"/>
        <v>256.99679999999995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0.02</v>
      </c>
      <c r="K26" s="2"/>
      <c r="L26" s="10">
        <f>J26*1189.8</f>
        <v>23.795999999999999</v>
      </c>
      <c r="M26" s="4"/>
      <c r="N26" s="13">
        <f t="shared" si="0"/>
        <v>285.55200000000002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3.0000000000000001E-3</v>
      </c>
      <c r="K27" s="2"/>
      <c r="L27" s="10">
        <f>J27*1189.8</f>
        <v>3.5693999999999999</v>
      </c>
      <c r="M27" s="4"/>
      <c r="N27" s="13">
        <f t="shared" si="0"/>
        <v>42.832799999999999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8.2000000000000003E-2</v>
      </c>
      <c r="K29" s="6"/>
      <c r="L29" s="7">
        <f>L31+L32+L34+L35+L37+L38+L41</f>
        <v>97.563599999999994</v>
      </c>
      <c r="M29" s="7"/>
      <c r="N29" s="13">
        <f t="shared" si="0"/>
        <v>1170.7631999999999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8.3000000000000001E-3</v>
      </c>
      <c r="K31" s="2"/>
      <c r="L31" s="10">
        <f>J31*1189.8</f>
        <v>9.8753399999999996</v>
      </c>
      <c r="M31" s="4"/>
      <c r="N31" s="13">
        <f t="shared" si="0"/>
        <v>118.50407999999999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4.0000000000000001E-3</v>
      </c>
      <c r="K32" s="2"/>
      <c r="L32" s="10">
        <f t="shared" ref="L32:L41" si="1">J32*1189.8</f>
        <v>4.7591999999999999</v>
      </c>
      <c r="M32" s="4"/>
      <c r="N32" s="13">
        <f t="shared" si="0"/>
        <v>57.110399999999998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1.14E-2</v>
      </c>
      <c r="K34" s="2"/>
      <c r="L34" s="10">
        <f t="shared" si="1"/>
        <v>13.56372</v>
      </c>
      <c r="M34" s="4"/>
      <c r="N34" s="13">
        <f t="shared" si="0"/>
        <v>162.76463999999999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1E-3</v>
      </c>
      <c r="K35" s="2"/>
      <c r="L35" s="10">
        <f t="shared" si="1"/>
        <v>1.1898</v>
      </c>
      <c r="M35" s="4"/>
      <c r="N35" s="13">
        <f t="shared" si="0"/>
        <v>14.2776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9.2999999999999992E-3</v>
      </c>
      <c r="K37" s="2"/>
      <c r="L37" s="10">
        <f t="shared" si="1"/>
        <v>11.06514</v>
      </c>
      <c r="M37" s="4"/>
      <c r="N37" s="13">
        <f t="shared" si="0"/>
        <v>132.78167999999999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3.0000000000000001E-3</v>
      </c>
      <c r="K38" s="2"/>
      <c r="L38" s="10">
        <f t="shared" si="1"/>
        <v>3.5693999999999999</v>
      </c>
      <c r="M38" s="4"/>
      <c r="N38" s="13">
        <f t="shared" si="0"/>
        <v>42.832799999999999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4.4999999999999998E-2</v>
      </c>
      <c r="K41" s="2"/>
      <c r="L41" s="10">
        <f t="shared" si="1"/>
        <v>53.540999999999997</v>
      </c>
      <c r="M41" s="4"/>
      <c r="N41" s="13">
        <f t="shared" si="0"/>
        <v>642.49199999999996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>L44+L45+L46+L47</f>
        <v>130.87799999999999</v>
      </c>
      <c r="M43" s="7"/>
      <c r="N43" s="13">
        <f t="shared" si="0"/>
        <v>1570.5359999999998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>J44*1189.8</f>
        <v>46.402200000000001</v>
      </c>
      <c r="M44" s="4"/>
      <c r="N44" s="13">
        <f t="shared" si="0"/>
        <v>556.82640000000004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ref="L45:L50" si="2">J45*1189.8</f>
        <v>17.846999999999998</v>
      </c>
      <c r="M45" s="4"/>
      <c r="N45" s="13">
        <f t="shared" si="0"/>
        <v>214.16399999999999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2"/>
        <v>17.846999999999998</v>
      </c>
      <c r="M46" s="4"/>
      <c r="N46" s="13">
        <f t="shared" si="0"/>
        <v>214.16399999999999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2"/>
        <v>48.781799999999997</v>
      </c>
      <c r="M47" s="4"/>
      <c r="N47" s="13">
        <f t="shared" si="0"/>
        <v>585.38159999999993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2"/>
        <v>11.898</v>
      </c>
      <c r="M49" s="7"/>
      <c r="N49" s="13">
        <f t="shared" si="0"/>
        <v>142.77600000000001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2"/>
        <v>404.53200000000004</v>
      </c>
      <c r="M50" s="7"/>
      <c r="N50" s="13">
        <f t="shared" si="0"/>
        <v>4854.384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5">
        <v>59.49</v>
      </c>
      <c r="M51" s="2"/>
      <c r="N51" s="13">
        <f t="shared" si="0"/>
        <v>713.88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activeCell="N19" sqref="N19"/>
    </sheetView>
  </sheetViews>
  <sheetFormatPr defaultRowHeight="15" x14ac:dyDescent="0.25"/>
  <cols>
    <col min="1" max="3" width="9.140625" style="1"/>
    <col min="4" max="4" width="26.5703125" style="1" customWidth="1"/>
    <col min="5" max="5" width="4.5703125" style="1" customWidth="1"/>
    <col min="6" max="6" width="3.5703125" style="1" customWidth="1"/>
    <col min="7" max="8" width="9.140625" style="1"/>
    <col min="9" max="9" width="4" style="1" customWidth="1"/>
    <col min="10" max="10" width="9.140625" style="1"/>
    <col min="11" max="11" width="4.140625" style="1" customWidth="1"/>
    <col min="12" max="12" width="9.140625" style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121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220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122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123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124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177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0.10700000000000001</v>
      </c>
      <c r="K23" s="6"/>
      <c r="L23" s="7">
        <f>L24+L25+L26+L27</f>
        <v>173.38280000000003</v>
      </c>
      <c r="M23" s="6"/>
      <c r="N23" s="13">
        <f>L23*12</f>
        <v>2080.5936000000002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7.0000000000000007E-2</v>
      </c>
      <c r="K24" s="2"/>
      <c r="L24" s="10">
        <f>J24*1620.4</f>
        <v>113.42800000000001</v>
      </c>
      <c r="M24" s="4"/>
      <c r="N24" s="13">
        <f t="shared" ref="N24:N51" si="0">L24*12</f>
        <v>1361.1360000000002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0.02</v>
      </c>
      <c r="K25" s="2"/>
      <c r="L25" s="10">
        <f>J25*1620.4</f>
        <v>32.408000000000001</v>
      </c>
      <c r="M25" s="4"/>
      <c r="N25" s="13">
        <f t="shared" si="0"/>
        <v>388.89600000000002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1.4999999999999999E-2</v>
      </c>
      <c r="K26" s="2"/>
      <c r="L26" s="10">
        <f>J26*1620.4</f>
        <v>24.306000000000001</v>
      </c>
      <c r="M26" s="4"/>
      <c r="N26" s="13">
        <f t="shared" si="0"/>
        <v>291.67200000000003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2E-3</v>
      </c>
      <c r="K27" s="2"/>
      <c r="L27" s="10">
        <f>J27*1620.4</f>
        <v>3.2408000000000001</v>
      </c>
      <c r="M27" s="4"/>
      <c r="N27" s="13">
        <f t="shared" si="0"/>
        <v>38.889600000000002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0.113</v>
      </c>
      <c r="K29" s="6"/>
      <c r="L29" s="7">
        <f>J29*1620.4</f>
        <v>183.10520000000002</v>
      </c>
      <c r="M29" s="7"/>
      <c r="N29" s="13">
        <f t="shared" si="0"/>
        <v>2197.2624000000005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 t="shared" ref="L31:L51" si="1">J31*1620.4</f>
        <v>16.041960000000003</v>
      </c>
      <c r="M31" s="4"/>
      <c r="N31" s="13">
        <f t="shared" si="0"/>
        <v>192.50352000000004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8.9999999999999993E-3</v>
      </c>
      <c r="K32" s="2"/>
      <c r="L32" s="10">
        <f t="shared" si="1"/>
        <v>14.583600000000001</v>
      </c>
      <c r="M32" s="4"/>
      <c r="N32" s="13">
        <f t="shared" si="0"/>
        <v>175.00319999999999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1.17E-2</v>
      </c>
      <c r="K34" s="2"/>
      <c r="L34" s="10">
        <f t="shared" si="1"/>
        <v>18.958680000000001</v>
      </c>
      <c r="M34" s="4"/>
      <c r="N34" s="13">
        <f t="shared" si="0"/>
        <v>227.50416000000001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4.0000000000000001E-3</v>
      </c>
      <c r="K35" s="2"/>
      <c r="L35" s="10">
        <f t="shared" si="1"/>
        <v>6.4816000000000003</v>
      </c>
      <c r="M35" s="4"/>
      <c r="N35" s="13">
        <f t="shared" si="0"/>
        <v>77.779200000000003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9.4000000000000004E-3</v>
      </c>
      <c r="K37" s="2"/>
      <c r="L37" s="10">
        <f t="shared" si="1"/>
        <v>15.231760000000001</v>
      </c>
      <c r="M37" s="4"/>
      <c r="N37" s="13">
        <f t="shared" si="0"/>
        <v>182.78112000000002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6.0000000000000001E-3</v>
      </c>
      <c r="K38" s="2"/>
      <c r="L38" s="10">
        <f t="shared" si="1"/>
        <v>9.7224000000000004</v>
      </c>
      <c r="M38" s="4"/>
      <c r="N38" s="13">
        <f t="shared" si="0"/>
        <v>116.6688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6.3E-2</v>
      </c>
      <c r="K41" s="2"/>
      <c r="L41" s="10">
        <f t="shared" si="1"/>
        <v>102.0852</v>
      </c>
      <c r="M41" s="4"/>
      <c r="N41" s="13">
        <f t="shared" si="0"/>
        <v>1225.0224000000001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178.24400000000003</v>
      </c>
      <c r="M43" s="7"/>
      <c r="N43" s="13">
        <f t="shared" si="0"/>
        <v>2138.9280000000003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63.195600000000006</v>
      </c>
      <c r="M44" s="4"/>
      <c r="N44" s="13">
        <f t="shared" si="0"/>
        <v>758.34720000000004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24.306000000000001</v>
      </c>
      <c r="M45" s="4"/>
      <c r="N45" s="13">
        <f t="shared" si="0"/>
        <v>291.67200000000003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24.306000000000001</v>
      </c>
      <c r="M46" s="4"/>
      <c r="N46" s="13">
        <f t="shared" si="0"/>
        <v>291.67200000000003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66.436400000000006</v>
      </c>
      <c r="M47" s="4"/>
      <c r="N47" s="13">
        <f t="shared" si="0"/>
        <v>797.23680000000013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16.204000000000001</v>
      </c>
      <c r="M49" s="7"/>
      <c r="N49" s="13">
        <f t="shared" si="0"/>
        <v>194.44800000000001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550.93600000000004</v>
      </c>
      <c r="M50" s="7"/>
      <c r="N50" s="13">
        <f t="shared" si="0"/>
        <v>6611.232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81.02000000000001</v>
      </c>
      <c r="M51" s="2"/>
      <c r="N51" s="13">
        <f t="shared" si="0"/>
        <v>972.24000000000012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L20" sqref="L20"/>
    </sheetView>
  </sheetViews>
  <sheetFormatPr defaultRowHeight="15" x14ac:dyDescent="0.25"/>
  <cols>
    <col min="1" max="3" width="9.140625" style="1"/>
    <col min="4" max="4" width="27.85546875" style="1" customWidth="1"/>
    <col min="5" max="5" width="5.42578125" style="1" customWidth="1"/>
    <col min="6" max="6" width="4" style="1" customWidth="1"/>
    <col min="7" max="8" width="9.140625" style="1"/>
    <col min="9" max="9" width="4.140625" style="1" customWidth="1"/>
    <col min="10" max="10" width="9.140625" style="1"/>
    <col min="11" max="11" width="3.7109375" style="1" customWidth="1"/>
    <col min="12" max="12" width="9.140625" style="1"/>
    <col min="13" max="13" width="3.710937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127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125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</f>
        <v>3.6000000000000004E-2</v>
      </c>
      <c r="K23" s="6"/>
      <c r="L23" s="7">
        <f>J23*233.9</f>
        <v>8.4204000000000008</v>
      </c>
      <c r="M23" s="6"/>
      <c r="N23" s="13">
        <f>L23*12</f>
        <v>101.04480000000001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7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0.02</v>
      </c>
      <c r="K25" s="2"/>
      <c r="L25" s="10">
        <f t="shared" ref="L25:L50" si="0">J25*233.9</f>
        <v>4.6779999999999999</v>
      </c>
      <c r="M25" s="4"/>
      <c r="N25" s="13">
        <f t="shared" ref="N25:N50" si="1">L25*12</f>
        <v>56.135999999999996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1.6E-2</v>
      </c>
      <c r="K26" s="2"/>
      <c r="L26" s="10">
        <f t="shared" si="0"/>
        <v>3.7423999999999999</v>
      </c>
      <c r="M26" s="4"/>
      <c r="N26" s="13">
        <f t="shared" si="1"/>
        <v>44.908799999999999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10"/>
      <c r="M27" s="4"/>
      <c r="N27" s="13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</f>
        <v>8.7100000000000011E-2</v>
      </c>
      <c r="K29" s="6"/>
      <c r="L29" s="7">
        <f t="shared" si="0"/>
        <v>20.372690000000002</v>
      </c>
      <c r="M29" s="7"/>
      <c r="N29" s="13">
        <f t="shared" si="1"/>
        <v>244.47228000000001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8.9999999999999993E-3</v>
      </c>
      <c r="K31" s="2"/>
      <c r="L31" s="10">
        <f t="shared" si="0"/>
        <v>2.1050999999999997</v>
      </c>
      <c r="M31" s="4"/>
      <c r="N31" s="13">
        <f t="shared" si="1"/>
        <v>25.261199999999995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8.9999999999999993E-3</v>
      </c>
      <c r="K32" s="2"/>
      <c r="L32" s="10">
        <f t="shared" si="0"/>
        <v>2.1050999999999997</v>
      </c>
      <c r="M32" s="4"/>
      <c r="N32" s="13">
        <f t="shared" si="1"/>
        <v>25.261199999999995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9.1000000000000004E-3</v>
      </c>
      <c r="K37" s="2"/>
      <c r="L37" s="10">
        <f t="shared" si="0"/>
        <v>2.1284900000000002</v>
      </c>
      <c r="M37" s="4"/>
      <c r="N37" s="13">
        <f t="shared" si="1"/>
        <v>25.541880000000003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0.01</v>
      </c>
      <c r="K38" s="2"/>
      <c r="L38" s="10">
        <f t="shared" si="0"/>
        <v>2.339</v>
      </c>
      <c r="M38" s="4"/>
      <c r="N38" s="13">
        <f t="shared" si="1"/>
        <v>28.067999999999998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0.05</v>
      </c>
      <c r="K41" s="2"/>
      <c r="L41" s="10">
        <f t="shared" si="0"/>
        <v>11.695</v>
      </c>
      <c r="M41" s="4"/>
      <c r="N41" s="13">
        <f t="shared" si="1"/>
        <v>140.34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7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0.10700000000000001</v>
      </c>
      <c r="K43" s="6"/>
      <c r="L43" s="7">
        <f t="shared" si="0"/>
        <v>25.027300000000004</v>
      </c>
      <c r="M43" s="7"/>
      <c r="N43" s="13">
        <f t="shared" si="1"/>
        <v>300.32760000000007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3.7999999999999999E-2</v>
      </c>
      <c r="K44" s="2"/>
      <c r="L44" s="10">
        <f t="shared" si="0"/>
        <v>8.8881999999999994</v>
      </c>
      <c r="M44" s="4"/>
      <c r="N44" s="13">
        <f t="shared" si="1"/>
        <v>106.6584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0"/>
        <v>3.5085000000000002</v>
      </c>
      <c r="M45" s="4"/>
      <c r="N45" s="13">
        <f t="shared" si="1"/>
        <v>42.102000000000004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1.2999999999999999E-2</v>
      </c>
      <c r="K46" s="2"/>
      <c r="L46" s="10">
        <f t="shared" si="0"/>
        <v>3.0406999999999997</v>
      </c>
      <c r="M46" s="4"/>
      <c r="N46" s="13">
        <f t="shared" si="1"/>
        <v>36.488399999999999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0"/>
        <v>9.5899000000000001</v>
      </c>
      <c r="M47" s="4"/>
      <c r="N47" s="13">
        <f t="shared" si="1"/>
        <v>115.0788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0"/>
        <v>2.339</v>
      </c>
      <c r="M49" s="7"/>
      <c r="N49" s="13">
        <f t="shared" si="1"/>
        <v>28.067999999999998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0.24</v>
      </c>
      <c r="K50" s="6"/>
      <c r="L50" s="7">
        <f t="shared" si="0"/>
        <v>56.136000000000003</v>
      </c>
      <c r="M50" s="7"/>
      <c r="N50" s="13">
        <f t="shared" si="1"/>
        <v>673.63200000000006</v>
      </c>
    </row>
    <row r="51" spans="1:14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/>
      <c r="K51" s="2"/>
      <c r="L51" s="5"/>
      <c r="M51" s="2"/>
      <c r="N51" s="5"/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8" workbookViewId="0">
      <selection activeCell="N19" sqref="N19"/>
    </sheetView>
  </sheetViews>
  <sheetFormatPr defaultRowHeight="15" x14ac:dyDescent="0.25"/>
  <cols>
    <col min="1" max="3" width="9.140625" style="1"/>
    <col min="4" max="4" width="27.42578125" style="1" customWidth="1"/>
    <col min="5" max="5" width="4.7109375" style="1" customWidth="1"/>
    <col min="6" max="6" width="4.28515625" style="1" customWidth="1"/>
    <col min="7" max="8" width="9.140625" style="1"/>
    <col min="9" max="9" width="4.140625" style="1" customWidth="1"/>
    <col min="10" max="10" width="9.140625" style="1"/>
    <col min="11" max="11" width="4.5703125" style="1" customWidth="1"/>
    <col min="12" max="12" width="9.140625" style="1"/>
    <col min="13" max="13" width="4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126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128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J27+J25</f>
        <v>0.17499999999999999</v>
      </c>
      <c r="K23" s="6"/>
      <c r="L23" s="7">
        <v>11.52</v>
      </c>
      <c r="M23" s="6"/>
      <c r="N23" s="13">
        <f>L23*12</f>
        <v>138.24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0.12</v>
      </c>
      <c r="K25" s="2"/>
      <c r="L25" s="10">
        <v>7.9</v>
      </c>
      <c r="M25" s="4"/>
      <c r="N25" s="13">
        <f t="shared" ref="N25:N51" si="0">L25*12</f>
        <v>94.800000000000011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/>
      <c r="K26" s="2"/>
      <c r="L26" s="10"/>
      <c r="M26" s="4"/>
      <c r="N26" s="13"/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5.5E-2</v>
      </c>
      <c r="K27" s="2"/>
      <c r="L27" s="10">
        <v>3.62</v>
      </c>
      <c r="M27" s="4"/>
      <c r="N27" s="13">
        <f t="shared" si="0"/>
        <v>43.44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J31+J37+J41</f>
        <v>3.8599999999999995E-2</v>
      </c>
      <c r="K29" s="6"/>
      <c r="L29" s="7">
        <f>J29*65.8</f>
        <v>2.5398799999999997</v>
      </c>
      <c r="M29" s="7"/>
      <c r="N29" s="13">
        <f t="shared" si="0"/>
        <v>30.478559999999995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9.4999999999999998E-3</v>
      </c>
      <c r="K31" s="2"/>
      <c r="L31" s="10">
        <f t="shared" ref="L31:L51" si="1">J31*65.8</f>
        <v>0.62509999999999999</v>
      </c>
      <c r="M31" s="4"/>
      <c r="N31" s="13">
        <f t="shared" si="0"/>
        <v>7.5011999999999999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/>
      <c r="K32" s="2"/>
      <c r="L32" s="10"/>
      <c r="M32" s="4"/>
      <c r="N32" s="13"/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9.1000000000000004E-3</v>
      </c>
      <c r="K37" s="2"/>
      <c r="L37" s="10">
        <f t="shared" si="1"/>
        <v>0.59877999999999998</v>
      </c>
      <c r="M37" s="4"/>
      <c r="N37" s="13">
        <f t="shared" si="0"/>
        <v>7.1853599999999993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10"/>
      <c r="M38" s="4"/>
      <c r="N38" s="13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0.02</v>
      </c>
      <c r="K41" s="2"/>
      <c r="L41" s="10">
        <f t="shared" si="1"/>
        <v>1.3160000000000001</v>
      </c>
      <c r="M41" s="4"/>
      <c r="N41" s="13">
        <f t="shared" si="0"/>
        <v>15.792000000000002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0.10600000000000001</v>
      </c>
      <c r="K43" s="6"/>
      <c r="L43" s="7">
        <f t="shared" si="1"/>
        <v>6.9748000000000001</v>
      </c>
      <c r="M43" s="7"/>
      <c r="N43" s="13">
        <f t="shared" si="0"/>
        <v>83.697599999999994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3.5999999999999997E-2</v>
      </c>
      <c r="K44" s="2"/>
      <c r="L44" s="10">
        <f t="shared" si="1"/>
        <v>2.3687999999999998</v>
      </c>
      <c r="M44" s="4"/>
      <c r="N44" s="13">
        <f t="shared" si="0"/>
        <v>28.425599999999996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0.98699999999999988</v>
      </c>
      <c r="M45" s="4"/>
      <c r="N45" s="13">
        <f t="shared" si="0"/>
        <v>11.843999999999998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1.4E-2</v>
      </c>
      <c r="K46" s="2"/>
      <c r="L46" s="10">
        <f t="shared" si="1"/>
        <v>0.92120000000000002</v>
      </c>
      <c r="M46" s="4"/>
      <c r="N46" s="13">
        <f t="shared" si="0"/>
        <v>11.054400000000001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2.6978</v>
      </c>
      <c r="M47" s="4"/>
      <c r="N47" s="13">
        <f t="shared" si="0"/>
        <v>32.373599999999996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0.65800000000000003</v>
      </c>
      <c r="M49" s="7"/>
      <c r="N49" s="13">
        <f t="shared" si="0"/>
        <v>7.8960000000000008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0.33</v>
      </c>
      <c r="K50" s="6"/>
      <c r="L50" s="7">
        <f t="shared" si="1"/>
        <v>21.713999999999999</v>
      </c>
      <c r="M50" s="7"/>
      <c r="N50" s="13">
        <f t="shared" si="0"/>
        <v>260.56799999999998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0.06</v>
      </c>
      <c r="K51" s="2"/>
      <c r="L51" s="7">
        <f t="shared" si="1"/>
        <v>3.9479999999999995</v>
      </c>
      <c r="M51" s="2"/>
      <c r="N51" s="13">
        <f t="shared" si="0"/>
        <v>47.375999999999991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1" workbookViewId="0">
      <selection activeCell="N19" sqref="N19"/>
    </sheetView>
  </sheetViews>
  <sheetFormatPr defaultRowHeight="15" x14ac:dyDescent="0.25"/>
  <cols>
    <col min="1" max="3" width="9.140625" style="1"/>
    <col min="4" max="4" width="27.28515625" style="1" customWidth="1"/>
    <col min="5" max="5" width="4.7109375" style="1" customWidth="1"/>
    <col min="6" max="6" width="4.140625" style="1" customWidth="1"/>
    <col min="7" max="8" width="9.140625" style="1"/>
    <col min="9" max="9" width="3.85546875" style="1" customWidth="1"/>
    <col min="10" max="10" width="9.140625" style="1"/>
    <col min="11" max="11" width="4" style="1" customWidth="1"/>
    <col min="12" max="12" width="9.140625" style="1"/>
    <col min="13" max="13" width="4.425781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129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219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130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131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132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133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0.222</v>
      </c>
      <c r="K23" s="6"/>
      <c r="L23" s="7">
        <f>L24+L25+L26+L27</f>
        <v>240.07523999999998</v>
      </c>
      <c r="M23" s="6"/>
      <c r="N23" s="13">
        <f>L23*12</f>
        <v>2880.9028799999996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0.18</v>
      </c>
      <c r="K24" s="2"/>
      <c r="L24" s="10">
        <f>J24*1081.42</f>
        <v>194.65559999999999</v>
      </c>
      <c r="M24" s="4"/>
      <c r="N24" s="13">
        <f t="shared" ref="N24:N52" si="0">L24*12</f>
        <v>2335.8671999999997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2.9000000000000001E-2</v>
      </c>
      <c r="K25" s="2"/>
      <c r="L25" s="10">
        <f>J25*1081.42</f>
        <v>31.361180000000004</v>
      </c>
      <c r="M25" s="4"/>
      <c r="N25" s="13">
        <f t="shared" si="0"/>
        <v>376.33416000000005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0.01</v>
      </c>
      <c r="K26" s="2"/>
      <c r="L26" s="10">
        <f>J26*1081.42</f>
        <v>10.814200000000001</v>
      </c>
      <c r="M26" s="4"/>
      <c r="N26" s="13">
        <f t="shared" si="0"/>
        <v>129.77040000000002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3.0000000000000001E-3</v>
      </c>
      <c r="K27" s="2"/>
      <c r="L27" s="10">
        <f>J27*1081.42</f>
        <v>3.2442600000000001</v>
      </c>
      <c r="M27" s="4"/>
      <c r="N27" s="13">
        <f t="shared" si="0"/>
        <v>38.93112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J31+J32+J37+J38+J41+J42</f>
        <v>0.10800000000000001</v>
      </c>
      <c r="K29" s="6"/>
      <c r="L29" s="7">
        <f>J29*1081.42</f>
        <v>116.79336000000002</v>
      </c>
      <c r="M29" s="7"/>
      <c r="N29" s="13">
        <f t="shared" si="0"/>
        <v>1401.5203200000003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9.7000000000000003E-3</v>
      </c>
      <c r="K31" s="2"/>
      <c r="L31" s="10">
        <f t="shared" ref="L31:L52" si="1">J31*1081.42</f>
        <v>10.489774000000001</v>
      </c>
      <c r="M31" s="4"/>
      <c r="N31" s="13">
        <f t="shared" si="0"/>
        <v>125.87728800000001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3.0000000000000001E-3</v>
      </c>
      <c r="K32" s="2"/>
      <c r="L32" s="10">
        <f t="shared" si="1"/>
        <v>3.2442600000000001</v>
      </c>
      <c r="M32" s="4"/>
      <c r="N32" s="13">
        <f t="shared" si="0"/>
        <v>38.93112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9.2999999999999992E-3</v>
      </c>
      <c r="K37" s="2"/>
      <c r="L37" s="10">
        <f t="shared" si="1"/>
        <v>10.057205999999999</v>
      </c>
      <c r="M37" s="4"/>
      <c r="N37" s="13">
        <f t="shared" si="0"/>
        <v>120.68647199999998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1E-3</v>
      </c>
      <c r="K38" s="2"/>
      <c r="L38" s="10">
        <f t="shared" si="1"/>
        <v>1.08142</v>
      </c>
      <c r="M38" s="4"/>
      <c r="N38" s="13">
        <f t="shared" si="0"/>
        <v>12.977040000000001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3.5000000000000003E-2</v>
      </c>
      <c r="K41" s="2"/>
      <c r="L41" s="10">
        <f t="shared" si="1"/>
        <v>37.849700000000006</v>
      </c>
      <c r="M41" s="4"/>
      <c r="N41" s="13">
        <f t="shared" si="0"/>
        <v>454.19640000000004</v>
      </c>
    </row>
    <row r="42" spans="1:14" ht="15.75" x14ac:dyDescent="0.25">
      <c r="A42" s="2" t="s">
        <v>195</v>
      </c>
      <c r="B42" s="2" t="s">
        <v>196</v>
      </c>
      <c r="C42" s="2"/>
      <c r="D42" s="2"/>
      <c r="E42" s="2" t="s">
        <v>34</v>
      </c>
      <c r="F42" s="2"/>
      <c r="G42" s="2" t="s">
        <v>41</v>
      </c>
      <c r="H42" s="2"/>
      <c r="I42" s="2"/>
      <c r="J42" s="2">
        <v>0.05</v>
      </c>
      <c r="K42" s="2"/>
      <c r="L42" s="10">
        <f t="shared" si="1"/>
        <v>54.071000000000005</v>
      </c>
      <c r="M42" s="4"/>
      <c r="N42" s="13">
        <f t="shared" si="0"/>
        <v>648.85200000000009</v>
      </c>
    </row>
    <row r="43" spans="1:14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0"/>
      <c r="M43" s="4"/>
      <c r="N43" s="13"/>
    </row>
    <row r="44" spans="1:14" ht="15.75" x14ac:dyDescent="0.25">
      <c r="A44" s="6" t="s">
        <v>67</v>
      </c>
      <c r="B44" s="6"/>
      <c r="C44" s="6"/>
      <c r="D44" s="6"/>
      <c r="E44" s="6"/>
      <c r="F44" s="6"/>
      <c r="G44" s="6"/>
      <c r="H44" s="6"/>
      <c r="I44" s="6"/>
      <c r="J44" s="6">
        <f>J45+J46+J47+J48</f>
        <v>0.11000000000000001</v>
      </c>
      <c r="K44" s="6"/>
      <c r="L44" s="7">
        <f t="shared" si="1"/>
        <v>118.95620000000002</v>
      </c>
      <c r="M44" s="7"/>
      <c r="N44" s="13">
        <f t="shared" si="0"/>
        <v>1427.4744000000003</v>
      </c>
    </row>
    <row r="45" spans="1:14" ht="15.75" x14ac:dyDescent="0.25">
      <c r="A45" s="2" t="s">
        <v>68</v>
      </c>
      <c r="B45" s="2" t="s">
        <v>69</v>
      </c>
      <c r="C45" s="2"/>
      <c r="D45" s="2"/>
      <c r="E45" s="2"/>
      <c r="F45" s="2"/>
      <c r="G45" s="2"/>
      <c r="H45" s="2"/>
      <c r="I45" s="2"/>
      <c r="J45" s="2">
        <v>3.9E-2</v>
      </c>
      <c r="K45" s="2"/>
      <c r="L45" s="10">
        <f t="shared" si="1"/>
        <v>42.175380000000004</v>
      </c>
      <c r="M45" s="4"/>
      <c r="N45" s="13">
        <f t="shared" si="0"/>
        <v>506.10456000000005</v>
      </c>
    </row>
    <row r="46" spans="1:14" ht="15.75" x14ac:dyDescent="0.25">
      <c r="A46" s="2" t="s">
        <v>70</v>
      </c>
      <c r="B46" s="2" t="s">
        <v>71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16.221299999999999</v>
      </c>
      <c r="M46" s="4"/>
      <c r="N46" s="13">
        <f t="shared" si="0"/>
        <v>194.65559999999999</v>
      </c>
    </row>
    <row r="47" spans="1:14" ht="15.75" x14ac:dyDescent="0.25">
      <c r="A47" s="2" t="s">
        <v>72</v>
      </c>
      <c r="B47" s="2" t="s">
        <v>73</v>
      </c>
      <c r="C47" s="2"/>
      <c r="D47" s="2"/>
      <c r="E47" s="2"/>
      <c r="F47" s="2"/>
      <c r="G47" s="2"/>
      <c r="H47" s="2"/>
      <c r="I47" s="2"/>
      <c r="J47" s="2">
        <v>1.4999999999999999E-2</v>
      </c>
      <c r="K47" s="2"/>
      <c r="L47" s="10">
        <f t="shared" si="1"/>
        <v>16.221299999999999</v>
      </c>
      <c r="M47" s="4"/>
      <c r="N47" s="13">
        <f t="shared" si="0"/>
        <v>194.65559999999999</v>
      </c>
    </row>
    <row r="48" spans="1:14" ht="15.75" x14ac:dyDescent="0.25">
      <c r="A48" s="2" t="s">
        <v>74</v>
      </c>
      <c r="B48" s="2" t="s">
        <v>75</v>
      </c>
      <c r="C48" s="2"/>
      <c r="D48" s="2"/>
      <c r="E48" s="2"/>
      <c r="F48" s="2"/>
      <c r="G48" s="2"/>
      <c r="H48" s="2"/>
      <c r="I48" s="2"/>
      <c r="J48" s="2">
        <v>4.1000000000000002E-2</v>
      </c>
      <c r="K48" s="2"/>
      <c r="L48" s="10">
        <f t="shared" si="1"/>
        <v>44.338220000000007</v>
      </c>
      <c r="M48" s="4"/>
      <c r="N48" s="13">
        <f t="shared" si="0"/>
        <v>532.05864000000008</v>
      </c>
    </row>
    <row r="49" spans="1:14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0"/>
      <c r="M49" s="4"/>
      <c r="N49" s="13"/>
    </row>
    <row r="50" spans="1:14" ht="15.75" x14ac:dyDescent="0.25">
      <c r="A50" s="6" t="s">
        <v>76</v>
      </c>
      <c r="B50" s="6"/>
      <c r="C50" s="6"/>
      <c r="D50" s="6"/>
      <c r="E50" s="6"/>
      <c r="F50" s="6"/>
      <c r="G50" s="6"/>
      <c r="H50" s="6"/>
      <c r="I50" s="6"/>
      <c r="J50" s="9">
        <v>0.01</v>
      </c>
      <c r="K50" s="6"/>
      <c r="L50" s="10">
        <f t="shared" si="1"/>
        <v>10.814200000000001</v>
      </c>
      <c r="M50" s="7"/>
      <c r="N50" s="13">
        <f t="shared" si="0"/>
        <v>129.77040000000002</v>
      </c>
    </row>
    <row r="51" spans="1:14" ht="15.75" x14ac:dyDescent="0.25">
      <c r="A51" s="6"/>
      <c r="B51" s="6"/>
      <c r="C51" s="6"/>
      <c r="D51" s="6"/>
      <c r="E51" s="6"/>
      <c r="F51" s="6"/>
      <c r="G51" s="6" t="s">
        <v>77</v>
      </c>
      <c r="H51" s="6"/>
      <c r="I51" s="6"/>
      <c r="J51" s="6">
        <v>0.45</v>
      </c>
      <c r="K51" s="6"/>
      <c r="L51" s="7">
        <f t="shared" si="1"/>
        <v>486.63900000000007</v>
      </c>
      <c r="M51" s="7"/>
      <c r="N51" s="13">
        <f t="shared" si="0"/>
        <v>5839.6680000000006</v>
      </c>
    </row>
    <row r="52" spans="1:14" ht="15.75" x14ac:dyDescent="0.25">
      <c r="A52" s="5" t="s">
        <v>78</v>
      </c>
      <c r="B52" s="2"/>
      <c r="C52" s="2"/>
      <c r="D52" s="2"/>
      <c r="E52" s="2"/>
      <c r="F52" s="2"/>
      <c r="G52" s="2"/>
      <c r="H52" s="2"/>
      <c r="I52" s="2"/>
      <c r="J52" s="5">
        <v>0.08</v>
      </c>
      <c r="K52" s="2"/>
      <c r="L52" s="7">
        <f t="shared" si="1"/>
        <v>86.513600000000011</v>
      </c>
      <c r="M52" s="2"/>
      <c r="N52" s="13">
        <f t="shared" si="0"/>
        <v>1038.1632000000002</v>
      </c>
    </row>
    <row r="55" spans="1:14" x14ac:dyDescent="0.25">
      <c r="A55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35" workbookViewId="0">
      <selection activeCell="L23" sqref="L23"/>
    </sheetView>
  </sheetViews>
  <sheetFormatPr defaultRowHeight="15" x14ac:dyDescent="0.25"/>
  <cols>
    <col min="1" max="3" width="9.140625" style="1"/>
    <col min="4" max="4" width="27.42578125" style="1" customWidth="1"/>
    <col min="5" max="5" width="4.85546875" style="1" customWidth="1"/>
    <col min="6" max="6" width="4.28515625" style="1" customWidth="1"/>
    <col min="7" max="8" width="9.140625" style="1"/>
    <col min="9" max="9" width="3.85546875" style="1" customWidth="1"/>
    <col min="10" max="10" width="9.140625" style="1"/>
    <col min="11" max="11" width="4" style="1" customWidth="1"/>
    <col min="12" max="12" width="9.140625" style="1"/>
    <col min="13" max="13" width="4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134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218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135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136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>
        <f>N23+N29+N43+N49</f>
        <v>1076.7348</v>
      </c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0.28800000000000003</v>
      </c>
      <c r="K23" s="6"/>
      <c r="L23" s="7">
        <f>L24+L25+L26+L27</f>
        <v>60.307200000000009</v>
      </c>
      <c r="M23" s="6"/>
      <c r="N23" s="13">
        <f>L23*12</f>
        <v>723.68640000000005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0.216</v>
      </c>
      <c r="K24" s="2"/>
      <c r="L24" s="10">
        <f>J24*209.4</f>
        <v>45.230400000000003</v>
      </c>
      <c r="M24" s="4"/>
      <c r="N24" s="13">
        <f t="shared" ref="N24:N51" si="0">L24*12</f>
        <v>542.76480000000004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4.4999999999999998E-2</v>
      </c>
      <c r="K25" s="2"/>
      <c r="L25" s="10">
        <f>J25*209.4</f>
        <v>9.423</v>
      </c>
      <c r="M25" s="4"/>
      <c r="N25" s="13">
        <f t="shared" si="0"/>
        <v>113.07599999999999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0.01</v>
      </c>
      <c r="K26" s="2"/>
      <c r="L26" s="10">
        <f>J26*209.4</f>
        <v>2.0940000000000003</v>
      </c>
      <c r="M26" s="4"/>
      <c r="N26" s="13">
        <f t="shared" si="0"/>
        <v>25.128000000000004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1.7000000000000001E-2</v>
      </c>
      <c r="K27" s="2"/>
      <c r="L27" s="10">
        <f>J27*209.4</f>
        <v>3.5598000000000005</v>
      </c>
      <c r="M27" s="4"/>
      <c r="N27" s="13">
        <f t="shared" si="0"/>
        <v>42.717600000000004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J31+J37+J38+J41</f>
        <v>2.0500000000000001E-2</v>
      </c>
      <c r="K29" s="6"/>
      <c r="L29" s="7">
        <f>J29*209.4</f>
        <v>4.2927</v>
      </c>
      <c r="M29" s="7"/>
      <c r="N29" s="13">
        <f t="shared" si="0"/>
        <v>51.5124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 t="shared" ref="L31:L51" si="1">J31*209.4</f>
        <v>2.0730600000000003</v>
      </c>
      <c r="M31" s="4"/>
      <c r="N31" s="13">
        <f t="shared" si="0"/>
        <v>24.876720000000006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/>
      <c r="K32" s="2"/>
      <c r="L32" s="10"/>
      <c r="M32" s="4"/>
      <c r="N32" s="13"/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1"/>
        <v>2.01024</v>
      </c>
      <c r="M37" s="4"/>
      <c r="N37" s="13">
        <f t="shared" si="0"/>
        <v>24.122880000000002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1E-3</v>
      </c>
      <c r="K38" s="2"/>
      <c r="L38" s="10">
        <f t="shared" si="1"/>
        <v>0.2094</v>
      </c>
      <c r="M38" s="4"/>
      <c r="N38" s="13">
        <f t="shared" si="0"/>
        <v>2.5127999999999999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/>
      <c r="K41" s="2"/>
      <c r="L41" s="10"/>
      <c r="M41" s="4"/>
      <c r="N41" s="13"/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23.034000000000002</v>
      </c>
      <c r="M43" s="7"/>
      <c r="N43" s="13">
        <f t="shared" si="0"/>
        <v>276.40800000000002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8.1666000000000007</v>
      </c>
      <c r="M44" s="4"/>
      <c r="N44" s="13">
        <f t="shared" si="0"/>
        <v>97.999200000000002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3.141</v>
      </c>
      <c r="M45" s="4"/>
      <c r="N45" s="13">
        <f t="shared" si="0"/>
        <v>37.692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3.141</v>
      </c>
      <c r="M46" s="4"/>
      <c r="N46" s="13">
        <f t="shared" si="0"/>
        <v>37.692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8.5853999999999999</v>
      </c>
      <c r="M47" s="4"/>
      <c r="N47" s="13">
        <f t="shared" si="0"/>
        <v>103.0248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2.0940000000000003</v>
      </c>
      <c r="M49" s="7"/>
      <c r="N49" s="13">
        <f t="shared" si="0"/>
        <v>25.128000000000004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0.42</v>
      </c>
      <c r="K50" s="6"/>
      <c r="L50" s="7">
        <f t="shared" si="1"/>
        <v>87.947999999999993</v>
      </c>
      <c r="M50" s="7"/>
      <c r="N50" s="13">
        <f t="shared" si="0"/>
        <v>1055.376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10.47</v>
      </c>
      <c r="M51" s="2"/>
      <c r="N51" s="13">
        <f t="shared" si="0"/>
        <v>125.64000000000001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5" workbookViewId="0">
      <selection activeCell="L20" sqref="L20"/>
    </sheetView>
  </sheetViews>
  <sheetFormatPr defaultRowHeight="15" x14ac:dyDescent="0.25"/>
  <cols>
    <col min="1" max="3" width="9.140625" style="1"/>
    <col min="4" max="4" width="27.28515625" style="1" customWidth="1"/>
    <col min="5" max="5" width="5" style="1" customWidth="1"/>
    <col min="6" max="6" width="4.140625" style="1" customWidth="1"/>
    <col min="7" max="8" width="9.140625" style="1"/>
    <col min="9" max="9" width="4" style="1" customWidth="1"/>
    <col min="10" max="10" width="9.140625" style="1"/>
    <col min="11" max="11" width="4.140625" style="1" customWidth="1"/>
    <col min="12" max="12" width="9.140625" style="1"/>
    <col min="13" max="13" width="3.710937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137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217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138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139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140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182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0.14800000000000002</v>
      </c>
      <c r="K23" s="6"/>
      <c r="L23" s="7">
        <f>L24+L25+L26+L27</f>
        <v>174.15899999999999</v>
      </c>
      <c r="M23" s="6"/>
      <c r="N23" s="13">
        <f>L23*12</f>
        <v>2089.9079999999999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0.11600000000000001</v>
      </c>
      <c r="K24" s="2"/>
      <c r="L24" s="10">
        <f>J24*1176.75</f>
        <v>136.50300000000001</v>
      </c>
      <c r="M24" s="4"/>
      <c r="N24" s="13">
        <f t="shared" ref="N24:N51" si="0">L24*12</f>
        <v>1638.0360000000001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2.1000000000000001E-2</v>
      </c>
      <c r="K25" s="2"/>
      <c r="L25" s="10">
        <f>J25*1176.75</f>
        <v>24.711750000000002</v>
      </c>
      <c r="M25" s="4"/>
      <c r="N25" s="13">
        <f t="shared" si="0"/>
        <v>296.54100000000005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8.0000000000000002E-3</v>
      </c>
      <c r="K26" s="2"/>
      <c r="L26" s="10">
        <f>J26*1176.75</f>
        <v>9.4139999999999997</v>
      </c>
      <c r="M26" s="4"/>
      <c r="N26" s="13">
        <f t="shared" si="0"/>
        <v>112.96799999999999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3.0000000000000001E-3</v>
      </c>
      <c r="K27" s="2"/>
      <c r="L27" s="10">
        <f>J27*1176.75</f>
        <v>3.5302500000000001</v>
      </c>
      <c r="M27" s="4"/>
      <c r="N27" s="13">
        <f t="shared" si="0"/>
        <v>42.363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7.2000000000000008E-2</v>
      </c>
      <c r="K29" s="6"/>
      <c r="L29" s="7">
        <f>J29*1176.75</f>
        <v>84.726000000000013</v>
      </c>
      <c r="M29" s="7"/>
      <c r="N29" s="13">
        <f t="shared" si="0"/>
        <v>1016.7120000000002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9.4999999999999998E-3</v>
      </c>
      <c r="K31" s="2"/>
      <c r="L31" s="10">
        <f t="shared" ref="L31:L51" si="1">J31*1176.75</f>
        <v>11.179124999999999</v>
      </c>
      <c r="M31" s="4"/>
      <c r="N31" s="13">
        <f t="shared" si="0"/>
        <v>134.14949999999999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4.0000000000000001E-3</v>
      </c>
      <c r="K32" s="2"/>
      <c r="L32" s="10">
        <f t="shared" si="1"/>
        <v>4.7069999999999999</v>
      </c>
      <c r="M32" s="4"/>
      <c r="N32" s="13">
        <f t="shared" si="0"/>
        <v>56.483999999999995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1.2E-2</v>
      </c>
      <c r="K34" s="2"/>
      <c r="L34" s="10">
        <f t="shared" si="1"/>
        <v>14.121</v>
      </c>
      <c r="M34" s="4"/>
      <c r="N34" s="13">
        <f t="shared" si="0"/>
        <v>169.452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3.0000000000000001E-3</v>
      </c>
      <c r="K35" s="2"/>
      <c r="L35" s="10">
        <f t="shared" si="1"/>
        <v>3.5302500000000001</v>
      </c>
      <c r="M35" s="4"/>
      <c r="N35" s="13">
        <f t="shared" si="0"/>
        <v>42.363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9.4999999999999998E-3</v>
      </c>
      <c r="K37" s="2"/>
      <c r="L37" s="10">
        <f t="shared" si="1"/>
        <v>11.179124999999999</v>
      </c>
      <c r="M37" s="4"/>
      <c r="N37" s="13">
        <f t="shared" si="0"/>
        <v>134.14949999999999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2E-3</v>
      </c>
      <c r="K38" s="2"/>
      <c r="L38" s="10">
        <f t="shared" si="1"/>
        <v>2.3534999999999999</v>
      </c>
      <c r="M38" s="4"/>
      <c r="N38" s="13">
        <f t="shared" si="0"/>
        <v>28.241999999999997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3.2000000000000001E-2</v>
      </c>
      <c r="K41" s="2"/>
      <c r="L41" s="10">
        <f t="shared" si="1"/>
        <v>37.655999999999999</v>
      </c>
      <c r="M41" s="4"/>
      <c r="N41" s="13">
        <f t="shared" si="0"/>
        <v>451.87199999999996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129.44250000000002</v>
      </c>
      <c r="M43" s="7"/>
      <c r="N43" s="13">
        <f t="shared" si="0"/>
        <v>1553.3100000000004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45.893250000000002</v>
      </c>
      <c r="M44" s="4"/>
      <c r="N44" s="13">
        <f t="shared" si="0"/>
        <v>550.71900000000005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17.651250000000001</v>
      </c>
      <c r="M45" s="4"/>
      <c r="N45" s="13">
        <f t="shared" si="0"/>
        <v>211.815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17.651250000000001</v>
      </c>
      <c r="M46" s="4"/>
      <c r="N46" s="13">
        <f t="shared" si="0"/>
        <v>211.815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48.246749999999999</v>
      </c>
      <c r="M47" s="4"/>
      <c r="N47" s="13">
        <f t="shared" si="0"/>
        <v>578.96100000000001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11.7675</v>
      </c>
      <c r="M49" s="7"/>
      <c r="N49" s="13">
        <f t="shared" si="0"/>
        <v>141.21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400.09500000000003</v>
      </c>
      <c r="M50" s="7"/>
      <c r="N50" s="13">
        <f t="shared" si="0"/>
        <v>4801.1400000000003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58.837500000000006</v>
      </c>
      <c r="M51" s="2"/>
      <c r="N51" s="13">
        <f t="shared" si="0"/>
        <v>706.05000000000007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N19" sqref="N19"/>
    </sheetView>
  </sheetViews>
  <sheetFormatPr defaultRowHeight="15" x14ac:dyDescent="0.25"/>
  <cols>
    <col min="1" max="3" width="9.140625" style="1"/>
    <col min="4" max="4" width="27.5703125" style="1" customWidth="1"/>
    <col min="5" max="5" width="5" style="1" customWidth="1"/>
    <col min="6" max="6" width="4.28515625" style="1" customWidth="1"/>
    <col min="7" max="8" width="9.140625" style="1"/>
    <col min="9" max="9" width="4.140625" style="1" customWidth="1"/>
    <col min="10" max="10" width="9.140625" style="1"/>
    <col min="11" max="11" width="4.140625" style="1" customWidth="1"/>
    <col min="12" max="12" width="9.5703125" style="1" bestFit="1" customWidth="1"/>
    <col min="13" max="13" width="4.425781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141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200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142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143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144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184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0.16200000000000003</v>
      </c>
      <c r="K23" s="6"/>
      <c r="L23" s="7">
        <f>L24+L25+L26+L27</f>
        <v>237.06108</v>
      </c>
      <c r="M23" s="6"/>
      <c r="N23" s="13">
        <f>L23*12</f>
        <v>2844.7329600000003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0.13800000000000001</v>
      </c>
      <c r="K24" s="2"/>
      <c r="L24" s="10">
        <f>J24*1463.34</f>
        <v>201.94092000000001</v>
      </c>
      <c r="M24" s="4"/>
      <c r="N24" s="13">
        <f t="shared" ref="N24:N50" si="0">L24*12</f>
        <v>2423.2910400000001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1.2999999999999999E-2</v>
      </c>
      <c r="K25" s="2"/>
      <c r="L25" s="10">
        <f>J25*1463.34</f>
        <v>19.023419999999998</v>
      </c>
      <c r="M25" s="4"/>
      <c r="N25" s="13">
        <f t="shared" si="0"/>
        <v>228.28103999999996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8.9999999999999993E-3</v>
      </c>
      <c r="K26" s="2"/>
      <c r="L26" s="10">
        <f>J26*1463.34</f>
        <v>13.170059999999998</v>
      </c>
      <c r="M26" s="4"/>
      <c r="N26" s="13">
        <f t="shared" si="0"/>
        <v>158.04071999999996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2E-3</v>
      </c>
      <c r="K27" s="2"/>
      <c r="L27" s="10">
        <f>J27*1463.34</f>
        <v>2.9266799999999997</v>
      </c>
      <c r="M27" s="4"/>
      <c r="N27" s="13">
        <f t="shared" si="0"/>
        <v>35.120159999999998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J31+J32+J34+J37+J38+J41</f>
        <v>5.7999999999999996E-2</v>
      </c>
      <c r="K29" s="6"/>
      <c r="L29" s="15">
        <f>J29*1463.34</f>
        <v>84.873719999999992</v>
      </c>
      <c r="M29" s="7"/>
      <c r="N29" s="13">
        <f t="shared" si="0"/>
        <v>1018.4846399999999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4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9.7000000000000003E-3</v>
      </c>
      <c r="K31" s="2"/>
      <c r="L31" s="14">
        <f>J31*1463.34</f>
        <v>14.194398</v>
      </c>
      <c r="M31" s="4"/>
      <c r="N31" s="13">
        <f t="shared" si="0"/>
        <v>170.332776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5.0000000000000001E-3</v>
      </c>
      <c r="K32" s="2"/>
      <c r="L32" s="14">
        <f t="shared" ref="L32:L50" si="1">J32*1463.34</f>
        <v>7.3167</v>
      </c>
      <c r="M32" s="4"/>
      <c r="N32" s="13">
        <f t="shared" si="0"/>
        <v>87.800399999999996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4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1.17E-2</v>
      </c>
      <c r="K34" s="2"/>
      <c r="L34" s="14">
        <f t="shared" si="1"/>
        <v>17.121078000000001</v>
      </c>
      <c r="M34" s="4"/>
      <c r="N34" s="13">
        <f t="shared" si="0"/>
        <v>205.45293600000002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/>
      <c r="K35" s="2"/>
      <c r="L35" s="14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4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4">
        <f t="shared" si="1"/>
        <v>14.048063999999998</v>
      </c>
      <c r="M37" s="4"/>
      <c r="N37" s="13">
        <f t="shared" si="0"/>
        <v>168.57676799999999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2E-3</v>
      </c>
      <c r="K38" s="2"/>
      <c r="L38" s="14">
        <f t="shared" si="1"/>
        <v>2.9266799999999997</v>
      </c>
      <c r="M38" s="4"/>
      <c r="N38" s="13">
        <f t="shared" si="0"/>
        <v>35.120159999999998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4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4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0.02</v>
      </c>
      <c r="K41" s="2"/>
      <c r="L41" s="14">
        <f t="shared" si="1"/>
        <v>29.2668</v>
      </c>
      <c r="M41" s="4"/>
      <c r="N41" s="13">
        <f t="shared" si="0"/>
        <v>351.20159999999998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4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15">
        <f t="shared" si="1"/>
        <v>160.96740000000003</v>
      </c>
      <c r="M43" s="7"/>
      <c r="N43" s="13">
        <f t="shared" si="0"/>
        <v>1931.6088000000004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4">
        <f t="shared" si="1"/>
        <v>57.070259999999998</v>
      </c>
      <c r="M44" s="4"/>
      <c r="N44" s="13">
        <f t="shared" si="0"/>
        <v>684.84312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4">
        <f t="shared" si="1"/>
        <v>21.950099999999999</v>
      </c>
      <c r="M45" s="4"/>
      <c r="N45" s="13">
        <f t="shared" si="0"/>
        <v>263.40120000000002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4">
        <f t="shared" si="1"/>
        <v>21.950099999999999</v>
      </c>
      <c r="M46" s="4"/>
      <c r="N46" s="13">
        <f t="shared" si="0"/>
        <v>263.40120000000002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4">
        <f t="shared" si="1"/>
        <v>59.996940000000002</v>
      </c>
      <c r="M47" s="4"/>
      <c r="N47" s="13">
        <f t="shared" si="0"/>
        <v>719.96328000000005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4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6">
        <f t="shared" si="1"/>
        <v>14.6334</v>
      </c>
      <c r="M49" s="7"/>
      <c r="N49" s="13">
        <f t="shared" si="0"/>
        <v>175.60079999999999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15">
        <f t="shared" si="1"/>
        <v>497.53559999999999</v>
      </c>
      <c r="M50" s="7"/>
      <c r="N50" s="13">
        <f t="shared" si="0"/>
        <v>5970.4272000000001</v>
      </c>
    </row>
    <row r="51" spans="1:14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/>
      <c r="K51" s="2"/>
      <c r="L51" s="5"/>
      <c r="M51" s="2"/>
      <c r="N51" s="5"/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5" workbookViewId="0">
      <selection activeCell="N20" sqref="N20"/>
    </sheetView>
  </sheetViews>
  <sheetFormatPr defaultRowHeight="15" x14ac:dyDescent="0.25"/>
  <cols>
    <col min="1" max="3" width="9.140625" style="1"/>
    <col min="4" max="4" width="27.28515625" style="1" customWidth="1"/>
    <col min="5" max="5" width="5" style="1" customWidth="1"/>
    <col min="6" max="6" width="4.140625" style="1" customWidth="1"/>
    <col min="7" max="8" width="9.140625" style="1"/>
    <col min="9" max="9" width="4.140625" style="1" customWidth="1"/>
    <col min="10" max="10" width="9.140625" style="1"/>
    <col min="11" max="11" width="4.140625" style="1" customWidth="1"/>
    <col min="12" max="12" width="9.140625" style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145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216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146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147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148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183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0.129</v>
      </c>
      <c r="K23" s="6"/>
      <c r="L23" s="7">
        <f>L24+L25+L26+L27</f>
        <v>266.29470000000003</v>
      </c>
      <c r="M23" s="6"/>
      <c r="N23" s="13">
        <f>L23*12</f>
        <v>3195.5364000000004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0.108</v>
      </c>
      <c r="K24" s="2"/>
      <c r="L24" s="10">
        <f>J24*2064.3</f>
        <v>222.94440000000003</v>
      </c>
      <c r="M24" s="4"/>
      <c r="N24" s="13">
        <f t="shared" ref="N24:N51" si="0">L24*12</f>
        <v>2675.3328000000001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1.0999999999999999E-2</v>
      </c>
      <c r="K25" s="2"/>
      <c r="L25" s="10">
        <f>J25*2064.3</f>
        <v>22.7073</v>
      </c>
      <c r="M25" s="4"/>
      <c r="N25" s="13">
        <f t="shared" si="0"/>
        <v>272.48759999999999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8.0000000000000002E-3</v>
      </c>
      <c r="K26" s="2"/>
      <c r="L26" s="10">
        <f>J26*2064.3</f>
        <v>16.514400000000002</v>
      </c>
      <c r="M26" s="4"/>
      <c r="N26" s="13">
        <f t="shared" si="0"/>
        <v>198.17280000000002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2E-3</v>
      </c>
      <c r="K27" s="2"/>
      <c r="L27" s="10">
        <f>J27*2064.3</f>
        <v>4.1286000000000005</v>
      </c>
      <c r="M27" s="4"/>
      <c r="N27" s="13">
        <f t="shared" si="0"/>
        <v>49.543200000000006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9.0999999999999998E-2</v>
      </c>
      <c r="K29" s="6"/>
      <c r="L29" s="7">
        <f>J29*2064.3</f>
        <v>187.85130000000001</v>
      </c>
      <c r="M29" s="7"/>
      <c r="N29" s="13">
        <f t="shared" si="0"/>
        <v>2254.2156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 t="shared" ref="L31:L51" si="1">J31*2064.3</f>
        <v>20.436570000000003</v>
      </c>
      <c r="M31" s="4"/>
      <c r="N31" s="13">
        <f t="shared" si="0"/>
        <v>245.23884000000004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6.0000000000000001E-3</v>
      </c>
      <c r="K32" s="2"/>
      <c r="L32" s="10">
        <f t="shared" si="1"/>
        <v>12.385800000000001</v>
      </c>
      <c r="M32" s="4"/>
      <c r="N32" s="13">
        <f t="shared" si="0"/>
        <v>148.62960000000001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1.17E-2</v>
      </c>
      <c r="K34" s="2"/>
      <c r="L34" s="10">
        <f t="shared" si="1"/>
        <v>24.152310000000003</v>
      </c>
      <c r="M34" s="4"/>
      <c r="N34" s="13">
        <f t="shared" si="0"/>
        <v>289.82772000000006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1E-3</v>
      </c>
      <c r="K35" s="2"/>
      <c r="L35" s="10">
        <f t="shared" si="1"/>
        <v>2.0643000000000002</v>
      </c>
      <c r="M35" s="4"/>
      <c r="N35" s="13">
        <f t="shared" si="0"/>
        <v>24.771600000000003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9.7000000000000003E-3</v>
      </c>
      <c r="K37" s="2"/>
      <c r="L37" s="10">
        <f t="shared" si="1"/>
        <v>20.023710000000001</v>
      </c>
      <c r="M37" s="4"/>
      <c r="N37" s="13">
        <f t="shared" si="0"/>
        <v>240.28452000000001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1.6999999999999999E-3</v>
      </c>
      <c r="K38" s="2"/>
      <c r="L38" s="10">
        <f t="shared" si="1"/>
        <v>3.5093100000000002</v>
      </c>
      <c r="M38" s="4"/>
      <c r="N38" s="13">
        <f t="shared" si="0"/>
        <v>42.111720000000005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5.0999999999999997E-2</v>
      </c>
      <c r="K41" s="2"/>
      <c r="L41" s="10">
        <f t="shared" si="1"/>
        <v>105.27930000000001</v>
      </c>
      <c r="M41" s="4"/>
      <c r="N41" s="13">
        <f t="shared" si="0"/>
        <v>1263.3516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227.07300000000004</v>
      </c>
      <c r="M43" s="7"/>
      <c r="N43" s="13">
        <f t="shared" si="0"/>
        <v>2724.8760000000002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80.507700000000014</v>
      </c>
      <c r="M44" s="4"/>
      <c r="N44" s="13">
        <f t="shared" si="0"/>
        <v>966.09240000000023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30.964500000000001</v>
      </c>
      <c r="M45" s="4"/>
      <c r="N45" s="13">
        <f t="shared" si="0"/>
        <v>371.57400000000001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30.964500000000001</v>
      </c>
      <c r="M46" s="4"/>
      <c r="N46" s="13">
        <f t="shared" si="0"/>
        <v>371.57400000000001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84.636300000000006</v>
      </c>
      <c r="M47" s="4"/>
      <c r="N47" s="13">
        <f t="shared" si="0"/>
        <v>1015.6356000000001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20.643000000000001</v>
      </c>
      <c r="M49" s="7"/>
      <c r="N49" s="13">
        <f t="shared" si="0"/>
        <v>247.71600000000001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701.86200000000008</v>
      </c>
      <c r="M50" s="7"/>
      <c r="N50" s="13">
        <f t="shared" si="0"/>
        <v>8422.344000000001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103.21500000000002</v>
      </c>
      <c r="M51" s="2"/>
      <c r="N51" s="13">
        <f t="shared" si="0"/>
        <v>1238.5800000000002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1" workbookViewId="0">
      <selection activeCell="N19" sqref="N19"/>
    </sheetView>
  </sheetViews>
  <sheetFormatPr defaultRowHeight="15" x14ac:dyDescent="0.25"/>
  <cols>
    <col min="1" max="3" width="9.140625" style="1"/>
    <col min="4" max="4" width="27.28515625" style="1" customWidth="1"/>
    <col min="5" max="5" width="4.85546875" style="1" customWidth="1"/>
    <col min="6" max="6" width="4" style="1" customWidth="1"/>
    <col min="7" max="8" width="9.140625" style="1"/>
    <col min="9" max="9" width="4.5703125" style="1" customWidth="1"/>
    <col min="10" max="10" width="9.140625" style="1"/>
    <col min="11" max="11" width="4.42578125" style="1" customWidth="1"/>
    <col min="12" max="12" width="9.140625" style="1"/>
    <col min="13" max="13" width="3.8554687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149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215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J25+J26+J27</f>
        <v>6.5000000000000002E-2</v>
      </c>
      <c r="K23" s="6"/>
      <c r="L23" s="7">
        <f>J23*105.1</f>
        <v>6.8315000000000001</v>
      </c>
      <c r="M23" s="6"/>
      <c r="N23" s="13">
        <f>L23*12</f>
        <v>81.978000000000009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1.2999999999999999E-2</v>
      </c>
      <c r="K25" s="2"/>
      <c r="L25" s="10">
        <f>J25*105.1</f>
        <v>1.3662999999999998</v>
      </c>
      <c r="M25" s="4"/>
      <c r="N25" s="13">
        <f t="shared" ref="N25:N51" si="0">L25*12</f>
        <v>16.395599999999998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1.7000000000000001E-2</v>
      </c>
      <c r="K26" s="2"/>
      <c r="L26" s="10">
        <f>J26*105.1</f>
        <v>1.7867</v>
      </c>
      <c r="M26" s="4"/>
      <c r="N26" s="13">
        <f t="shared" si="0"/>
        <v>21.4404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3.5000000000000003E-2</v>
      </c>
      <c r="K27" s="2"/>
      <c r="L27" s="10">
        <f>J27*105.1</f>
        <v>3.6785000000000001</v>
      </c>
      <c r="M27" s="4"/>
      <c r="N27" s="13">
        <f t="shared" si="0"/>
        <v>44.142000000000003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</f>
        <v>8.5800000000000001E-2</v>
      </c>
      <c r="K29" s="6"/>
      <c r="L29" s="7">
        <f>J29*105.1</f>
        <v>9.0175799999999988</v>
      </c>
      <c r="M29" s="7"/>
      <c r="N29" s="13">
        <f t="shared" si="0"/>
        <v>108.21095999999999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9.4999999999999998E-3</v>
      </c>
      <c r="K31" s="2"/>
      <c r="L31" s="10">
        <f t="shared" ref="L31:L51" si="1">J31*105.1</f>
        <v>0.99844999999999995</v>
      </c>
      <c r="M31" s="4"/>
      <c r="N31" s="13">
        <f t="shared" si="0"/>
        <v>11.981399999999999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1E-3</v>
      </c>
      <c r="K32" s="2"/>
      <c r="L32" s="10">
        <f t="shared" si="1"/>
        <v>0.1051</v>
      </c>
      <c r="M32" s="4"/>
      <c r="N32" s="13">
        <f t="shared" si="0"/>
        <v>1.2612000000000001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9.2999999999999992E-3</v>
      </c>
      <c r="K37" s="2"/>
      <c r="L37" s="10">
        <f t="shared" si="1"/>
        <v>0.97742999999999991</v>
      </c>
      <c r="M37" s="4"/>
      <c r="N37" s="13">
        <f t="shared" si="0"/>
        <v>11.729159999999998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1E-3</v>
      </c>
      <c r="K38" s="2"/>
      <c r="L38" s="10">
        <f t="shared" si="1"/>
        <v>0.1051</v>
      </c>
      <c r="M38" s="4"/>
      <c r="N38" s="13">
        <f t="shared" si="0"/>
        <v>1.2612000000000001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6.5000000000000002E-2</v>
      </c>
      <c r="K41" s="2"/>
      <c r="L41" s="10">
        <f t="shared" si="1"/>
        <v>6.8315000000000001</v>
      </c>
      <c r="M41" s="4"/>
      <c r="N41" s="13">
        <f t="shared" si="0"/>
        <v>81.978000000000009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11.561000000000002</v>
      </c>
      <c r="M43" s="7"/>
      <c r="N43" s="13">
        <f t="shared" si="0"/>
        <v>138.73200000000003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4.0988999999999995</v>
      </c>
      <c r="M44" s="4"/>
      <c r="N44" s="13">
        <f t="shared" si="0"/>
        <v>49.186799999999991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1.5764999999999998</v>
      </c>
      <c r="M45" s="4"/>
      <c r="N45" s="13">
        <f t="shared" si="0"/>
        <v>18.917999999999999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1.5764999999999998</v>
      </c>
      <c r="M46" s="4"/>
      <c r="N46" s="13">
        <f t="shared" si="0"/>
        <v>18.917999999999999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4.3090999999999999</v>
      </c>
      <c r="M47" s="4"/>
      <c r="N47" s="13">
        <f t="shared" si="0"/>
        <v>51.709199999999996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1.0509999999999999</v>
      </c>
      <c r="M49" s="7"/>
      <c r="N49" s="13">
        <f t="shared" si="0"/>
        <v>12.611999999999998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0.27</v>
      </c>
      <c r="K50" s="6"/>
      <c r="L50" s="7">
        <f t="shared" si="1"/>
        <v>28.376999999999999</v>
      </c>
      <c r="M50" s="7"/>
      <c r="N50" s="13">
        <f t="shared" si="0"/>
        <v>340.524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7.3570000000000002</v>
      </c>
      <c r="M51" s="2"/>
      <c r="N51" s="13">
        <f t="shared" si="0"/>
        <v>88.284000000000006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activeCell="N19" sqref="N19"/>
    </sheetView>
  </sheetViews>
  <sheetFormatPr defaultRowHeight="15" x14ac:dyDescent="0.25"/>
  <cols>
    <col min="1" max="3" width="9.140625" style="1"/>
    <col min="4" max="4" width="27.28515625" style="1" customWidth="1"/>
    <col min="5" max="5" width="4.7109375" style="1" customWidth="1"/>
    <col min="6" max="6" width="4.5703125" style="1" customWidth="1"/>
    <col min="7" max="8" width="9.140625" style="1"/>
    <col min="9" max="9" width="4.85546875" style="1" customWidth="1"/>
    <col min="10" max="10" width="9.140625" style="1"/>
    <col min="11" max="11" width="4.7109375" style="1" customWidth="1"/>
    <col min="12" max="12" width="9.140625" style="1"/>
    <col min="13" max="13" width="4.425781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150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201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151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152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153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185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0.13700000000000001</v>
      </c>
      <c r="K23" s="6"/>
      <c r="L23" s="7">
        <f>L24+L25+L26+L27</f>
        <v>105.43520000000001</v>
      </c>
      <c r="M23" s="6"/>
      <c r="N23" s="13">
        <f>L23*12</f>
        <v>1265.2224000000001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9.0999999999999998E-2</v>
      </c>
      <c r="K24" s="2"/>
      <c r="L24" s="10">
        <f>J24*769.6</f>
        <v>70.033600000000007</v>
      </c>
      <c r="M24" s="4"/>
      <c r="N24" s="13">
        <f t="shared" ref="N24:N51" si="0">L24*12</f>
        <v>840.40320000000008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3.2000000000000001E-2</v>
      </c>
      <c r="K25" s="2"/>
      <c r="L25" s="10">
        <f>J25*769.6</f>
        <v>24.627200000000002</v>
      </c>
      <c r="M25" s="4"/>
      <c r="N25" s="13">
        <f t="shared" si="0"/>
        <v>295.52640000000002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0.01</v>
      </c>
      <c r="K26" s="2"/>
      <c r="L26" s="10">
        <f>J26*769.6</f>
        <v>7.6960000000000006</v>
      </c>
      <c r="M26" s="4"/>
      <c r="N26" s="13">
        <f t="shared" si="0"/>
        <v>92.352000000000004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4.0000000000000001E-3</v>
      </c>
      <c r="K27" s="2"/>
      <c r="L27" s="10">
        <f>J27*769.6</f>
        <v>3.0784000000000002</v>
      </c>
      <c r="M27" s="4"/>
      <c r="N27" s="13">
        <f t="shared" si="0"/>
        <v>36.940800000000003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8.3100000000000007E-2</v>
      </c>
      <c r="K29" s="6"/>
      <c r="L29" s="7">
        <f>J29*769.6</f>
        <v>63.95376000000001</v>
      </c>
      <c r="M29" s="7"/>
      <c r="N29" s="13">
        <f t="shared" si="0"/>
        <v>767.44512000000009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9.1000000000000004E-3</v>
      </c>
      <c r="K31" s="2"/>
      <c r="L31" s="10">
        <f>J31*769.6</f>
        <v>7.0033600000000007</v>
      </c>
      <c r="M31" s="4"/>
      <c r="N31" s="13">
        <f t="shared" si="0"/>
        <v>84.040320000000008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0.01</v>
      </c>
      <c r="K32" s="2"/>
      <c r="L32" s="10">
        <f t="shared" ref="L32:L51" si="1">J32*769.6</f>
        <v>7.6960000000000006</v>
      </c>
      <c r="M32" s="4"/>
      <c r="N32" s="13">
        <f t="shared" si="0"/>
        <v>92.352000000000004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1.0999999999999999E-2</v>
      </c>
      <c r="K34" s="2"/>
      <c r="L34" s="10">
        <f t="shared" si="1"/>
        <v>8.4656000000000002</v>
      </c>
      <c r="M34" s="4"/>
      <c r="N34" s="13">
        <f t="shared" si="0"/>
        <v>101.5872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1E-3</v>
      </c>
      <c r="K35" s="2"/>
      <c r="L35" s="10">
        <f t="shared" si="1"/>
        <v>0.76960000000000006</v>
      </c>
      <c r="M35" s="4"/>
      <c r="N35" s="13">
        <f t="shared" si="0"/>
        <v>9.2352000000000007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8.9999999999999993E-3</v>
      </c>
      <c r="K37" s="2"/>
      <c r="L37" s="10">
        <f t="shared" si="1"/>
        <v>6.9264000000000001</v>
      </c>
      <c r="M37" s="4"/>
      <c r="N37" s="13">
        <f t="shared" si="0"/>
        <v>83.116799999999998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3.0000000000000001E-3</v>
      </c>
      <c r="K38" s="2"/>
      <c r="L38" s="10">
        <f t="shared" si="1"/>
        <v>2.3088000000000002</v>
      </c>
      <c r="M38" s="4"/>
      <c r="N38" s="13">
        <f t="shared" si="0"/>
        <v>27.705600000000004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0.04</v>
      </c>
      <c r="K41" s="2"/>
      <c r="L41" s="10">
        <f t="shared" si="1"/>
        <v>30.784000000000002</v>
      </c>
      <c r="M41" s="4"/>
      <c r="N41" s="13">
        <f t="shared" si="0"/>
        <v>369.40800000000002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84.65600000000002</v>
      </c>
      <c r="M43" s="7"/>
      <c r="N43" s="13">
        <f t="shared" si="0"/>
        <v>1015.8720000000003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30.014400000000002</v>
      </c>
      <c r="M44" s="4"/>
      <c r="N44" s="13">
        <f t="shared" si="0"/>
        <v>360.17280000000005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11.544</v>
      </c>
      <c r="M45" s="4"/>
      <c r="N45" s="13">
        <f t="shared" si="0"/>
        <v>138.52800000000002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11.544</v>
      </c>
      <c r="M46" s="4"/>
      <c r="N46" s="13">
        <f t="shared" si="0"/>
        <v>138.52800000000002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31.553600000000003</v>
      </c>
      <c r="M47" s="4"/>
      <c r="N47" s="13">
        <f t="shared" si="0"/>
        <v>378.64320000000004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7.6960000000000006</v>
      </c>
      <c r="M49" s="7"/>
      <c r="N49" s="13">
        <f t="shared" si="0"/>
        <v>92.352000000000004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261.66400000000004</v>
      </c>
      <c r="M50" s="7"/>
      <c r="N50" s="13">
        <f t="shared" si="0"/>
        <v>3139.9680000000008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38.480000000000004</v>
      </c>
      <c r="M51" s="2"/>
      <c r="N51" s="13">
        <f t="shared" si="0"/>
        <v>461.76000000000005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2" workbookViewId="0">
      <selection activeCell="N24" sqref="N24"/>
    </sheetView>
  </sheetViews>
  <sheetFormatPr defaultRowHeight="15" x14ac:dyDescent="0.25"/>
  <cols>
    <col min="1" max="3" width="9.140625" style="1"/>
    <col min="4" max="4" width="16.85546875" style="1" customWidth="1"/>
    <col min="5" max="5" width="6.140625" style="1" customWidth="1"/>
    <col min="6" max="6" width="4.28515625" style="1" customWidth="1"/>
    <col min="7" max="8" width="9.140625" style="1"/>
    <col min="9" max="9" width="5.140625" style="1" customWidth="1"/>
    <col min="10" max="10" width="9.140625" style="1"/>
    <col min="11" max="11" width="4.85546875" style="1" customWidth="1"/>
    <col min="12" max="12" width="9.140625" style="1"/>
    <col min="13" max="13" width="4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84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85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83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</f>
        <v>1.6E-2</v>
      </c>
      <c r="K23" s="6"/>
      <c r="L23" s="7">
        <f>J23*138.5</f>
        <v>2.2160000000000002</v>
      </c>
      <c r="M23" s="6"/>
      <c r="N23" s="13">
        <f>L23*12</f>
        <v>26.592000000000002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0.01</v>
      </c>
      <c r="K25" s="2"/>
      <c r="L25" s="10">
        <f>J25*138.5</f>
        <v>1.385</v>
      </c>
      <c r="M25" s="4"/>
      <c r="N25" s="13">
        <f t="shared" ref="N25:N51" si="0">L25*12</f>
        <v>16.62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6.0000000000000001E-3</v>
      </c>
      <c r="K26" s="2"/>
      <c r="L26" s="10">
        <f>J26*138.5</f>
        <v>0.83100000000000007</v>
      </c>
      <c r="M26" s="4"/>
      <c r="N26" s="13">
        <f t="shared" si="0"/>
        <v>9.9720000000000013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10"/>
      <c r="M27" s="4"/>
      <c r="N27" s="13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J31+J37+J41</f>
        <v>6.7000000000000004E-2</v>
      </c>
      <c r="K29" s="6"/>
      <c r="L29" s="7">
        <f>J29*138.5</f>
        <v>9.2795000000000005</v>
      </c>
      <c r="M29" s="7"/>
      <c r="N29" s="13">
        <f t="shared" si="0"/>
        <v>111.35400000000001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8.5000000000000006E-3</v>
      </c>
      <c r="K31" s="2"/>
      <c r="L31" s="10">
        <f t="shared" ref="L31:L51" si="1">J31*138.5</f>
        <v>1.1772500000000001</v>
      </c>
      <c r="M31" s="4"/>
      <c r="N31" s="13">
        <f t="shared" si="0"/>
        <v>14.127000000000002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/>
      <c r="K32" s="2"/>
      <c r="L32" s="10"/>
      <c r="M32" s="4"/>
      <c r="N32" s="13"/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8.5000000000000006E-3</v>
      </c>
      <c r="K37" s="2"/>
      <c r="L37" s="10">
        <f t="shared" si="1"/>
        <v>1.1772500000000001</v>
      </c>
      <c r="M37" s="4"/>
      <c r="N37" s="13">
        <f t="shared" si="0"/>
        <v>14.127000000000002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10"/>
      <c r="M38" s="4"/>
      <c r="N38" s="13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0.05</v>
      </c>
      <c r="K41" s="2"/>
      <c r="L41" s="10">
        <f t="shared" si="1"/>
        <v>6.9250000000000007</v>
      </c>
      <c r="M41" s="4"/>
      <c r="N41" s="13">
        <f t="shared" si="0"/>
        <v>83.100000000000009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0.10700000000000001</v>
      </c>
      <c r="K43" s="6"/>
      <c r="L43" s="7">
        <f t="shared" si="1"/>
        <v>14.819500000000001</v>
      </c>
      <c r="M43" s="7"/>
      <c r="N43" s="13">
        <f t="shared" si="0"/>
        <v>177.834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3.5999999999999997E-2</v>
      </c>
      <c r="K44" s="2"/>
      <c r="L44" s="10">
        <f t="shared" si="1"/>
        <v>4.9859999999999998</v>
      </c>
      <c r="M44" s="4"/>
      <c r="N44" s="13">
        <f t="shared" si="0"/>
        <v>59.831999999999994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2.0775000000000001</v>
      </c>
      <c r="M45" s="4"/>
      <c r="N45" s="13">
        <f t="shared" si="0"/>
        <v>24.93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2.0775000000000001</v>
      </c>
      <c r="M46" s="4"/>
      <c r="N46" s="13">
        <f t="shared" si="0"/>
        <v>24.93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5.6785000000000005</v>
      </c>
      <c r="M47" s="4"/>
      <c r="N47" s="13">
        <f t="shared" si="0"/>
        <v>68.14200000000001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1.385</v>
      </c>
      <c r="M49" s="7"/>
      <c r="N49" s="13">
        <f t="shared" si="0"/>
        <v>16.62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</v>
      </c>
      <c r="K50" s="6"/>
      <c r="L50" s="7">
        <f t="shared" si="1"/>
        <v>27.700000000000003</v>
      </c>
      <c r="M50" s="7"/>
      <c r="N50" s="13">
        <f t="shared" si="0"/>
        <v>332.40000000000003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0.09</v>
      </c>
      <c r="K51" s="2"/>
      <c r="L51" s="7">
        <f t="shared" si="1"/>
        <v>12.465</v>
      </c>
      <c r="M51" s="2"/>
      <c r="N51" s="13">
        <f t="shared" si="0"/>
        <v>149.57999999999998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activeCell="N19" sqref="N19"/>
    </sheetView>
  </sheetViews>
  <sheetFormatPr defaultRowHeight="15" x14ac:dyDescent="0.25"/>
  <cols>
    <col min="1" max="3" width="9.140625" style="1"/>
    <col min="4" max="4" width="28.28515625" style="1" customWidth="1"/>
    <col min="5" max="5" width="9.140625" style="1"/>
    <col min="6" max="6" width="3.7109375" style="1" customWidth="1"/>
    <col min="7" max="8" width="9.140625" style="1"/>
    <col min="9" max="9" width="3.85546875" style="1" customWidth="1"/>
    <col min="10" max="10" width="9.140625" style="1"/>
    <col min="11" max="11" width="3.42578125" style="1" customWidth="1"/>
    <col min="12" max="12" width="9.140625" style="1"/>
    <col min="13" max="13" width="3.710937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155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197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7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7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7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</f>
        <v>2.7999999999999997E-2</v>
      </c>
      <c r="K23" s="6"/>
      <c r="L23" s="7">
        <f>J23*162.3</f>
        <v>4.5443999999999996</v>
      </c>
      <c r="M23" s="7"/>
      <c r="N23" s="13">
        <f>L23*12</f>
        <v>54.532799999999995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7"/>
      <c r="M24" s="7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1.9E-2</v>
      </c>
      <c r="K25" s="2"/>
      <c r="L25" s="10">
        <f t="shared" ref="L25:L26" si="0">J25*162.3</f>
        <v>3.0837000000000003</v>
      </c>
      <c r="M25" s="10"/>
      <c r="N25" s="13">
        <f t="shared" ref="N25:N51" si="1">L25*12</f>
        <v>37.004400000000004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8.9999999999999993E-3</v>
      </c>
      <c r="K26" s="2"/>
      <c r="L26" s="10">
        <f t="shared" si="0"/>
        <v>1.4606999999999999</v>
      </c>
      <c r="M26" s="10"/>
      <c r="N26" s="13">
        <f t="shared" si="1"/>
        <v>17.528399999999998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10"/>
      <c r="M27" s="10"/>
      <c r="N27" s="13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10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J31+J37+J41</f>
        <v>0.123</v>
      </c>
      <c r="K29" s="6"/>
      <c r="L29" s="7">
        <f>J29*162.3</f>
        <v>19.962900000000001</v>
      </c>
      <c r="M29" s="7"/>
      <c r="N29" s="13">
        <f t="shared" si="1"/>
        <v>239.5548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10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9.5999999999999992E-3</v>
      </c>
      <c r="K31" s="2"/>
      <c r="L31" s="10">
        <f t="shared" ref="L31:L51" si="2">J31*162.3</f>
        <v>1.5580799999999999</v>
      </c>
      <c r="M31" s="10"/>
      <c r="N31" s="13">
        <f t="shared" si="1"/>
        <v>18.696959999999997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/>
      <c r="K32" s="2"/>
      <c r="L32" s="10"/>
      <c r="M32" s="10"/>
      <c r="N32" s="13"/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10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10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10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10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9.4000000000000004E-3</v>
      </c>
      <c r="K37" s="2"/>
      <c r="L37" s="10">
        <f t="shared" si="2"/>
        <v>1.5256200000000002</v>
      </c>
      <c r="M37" s="10"/>
      <c r="N37" s="13">
        <f t="shared" si="1"/>
        <v>18.307440000000003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10"/>
      <c r="M38" s="10"/>
      <c r="N38" s="13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10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10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0.104</v>
      </c>
      <c r="K41" s="2"/>
      <c r="L41" s="10">
        <f t="shared" si="2"/>
        <v>16.879200000000001</v>
      </c>
      <c r="M41" s="10"/>
      <c r="N41" s="13">
        <f t="shared" si="1"/>
        <v>202.55040000000002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10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0.10900000000000001</v>
      </c>
      <c r="K43" s="6"/>
      <c r="L43" s="10">
        <f t="shared" si="2"/>
        <v>17.690700000000003</v>
      </c>
      <c r="M43" s="10"/>
      <c r="N43" s="13">
        <f t="shared" si="1"/>
        <v>212.28840000000002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3.7999999999999999E-2</v>
      </c>
      <c r="K44" s="2"/>
      <c r="L44" s="10">
        <f t="shared" si="2"/>
        <v>6.1674000000000007</v>
      </c>
      <c r="M44" s="10"/>
      <c r="N44" s="13">
        <f t="shared" si="1"/>
        <v>74.008800000000008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2"/>
        <v>2.4344999999999999</v>
      </c>
      <c r="M45" s="10"/>
      <c r="N45" s="13">
        <f t="shared" si="1"/>
        <v>29.213999999999999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2"/>
        <v>2.4344999999999999</v>
      </c>
      <c r="M46" s="10"/>
      <c r="N46" s="13">
        <f t="shared" si="1"/>
        <v>29.213999999999999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2"/>
        <v>6.654300000000001</v>
      </c>
      <c r="M47" s="10"/>
      <c r="N47" s="13">
        <f t="shared" si="1"/>
        <v>79.851600000000019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10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2"/>
        <v>1.6230000000000002</v>
      </c>
      <c r="M49" s="10"/>
      <c r="N49" s="13">
        <f t="shared" si="1"/>
        <v>19.476000000000003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0.27</v>
      </c>
      <c r="K50" s="6"/>
      <c r="L50" s="7">
        <f t="shared" si="2"/>
        <v>43.821000000000005</v>
      </c>
      <c r="M50" s="7"/>
      <c r="N50" s="13">
        <f t="shared" si="1"/>
        <v>525.85200000000009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2"/>
        <v>11.361000000000002</v>
      </c>
      <c r="M51" s="7"/>
      <c r="N51" s="13">
        <f t="shared" si="1"/>
        <v>136.33200000000002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4" workbookViewId="0">
      <selection activeCell="N19" sqref="N19"/>
    </sheetView>
  </sheetViews>
  <sheetFormatPr defaultRowHeight="15" x14ac:dyDescent="0.25"/>
  <cols>
    <col min="1" max="3" width="9.140625" style="1"/>
    <col min="4" max="4" width="27.7109375" style="1" customWidth="1"/>
    <col min="5" max="5" width="5.140625" style="1" customWidth="1"/>
    <col min="6" max="6" width="4.140625" style="1" customWidth="1"/>
    <col min="7" max="8" width="9.140625" style="1"/>
    <col min="9" max="9" width="3.42578125" style="1" customWidth="1"/>
    <col min="10" max="10" width="9.140625" style="1"/>
    <col min="11" max="11" width="4.140625" style="1" customWidth="1"/>
    <col min="12" max="12" width="10.28515625" style="1" customWidth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156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202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157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158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159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 t="s">
        <v>154</v>
      </c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160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0.153</v>
      </c>
      <c r="K23" s="6"/>
      <c r="L23" s="7">
        <f>L24+L25+L26+L27</f>
        <v>433.38779999999997</v>
      </c>
      <c r="M23" s="6"/>
      <c r="N23" s="13">
        <f>L23*12</f>
        <v>5200.6535999999996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0.123</v>
      </c>
      <c r="K24" s="2"/>
      <c r="L24" s="10">
        <f>J24*2832.6</f>
        <v>348.40979999999996</v>
      </c>
      <c r="M24" s="4"/>
      <c r="N24" s="13">
        <f t="shared" ref="N24:N51" si="0">L24*12</f>
        <v>4180.9175999999998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1.9E-2</v>
      </c>
      <c r="K25" s="2"/>
      <c r="L25" s="10">
        <f>J25*2832.6</f>
        <v>53.819399999999995</v>
      </c>
      <c r="M25" s="4"/>
      <c r="N25" s="13">
        <f t="shared" si="0"/>
        <v>645.83279999999991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0.01</v>
      </c>
      <c r="K26" s="2"/>
      <c r="L26" s="10">
        <f>J26*2832.6</f>
        <v>28.326000000000001</v>
      </c>
      <c r="M26" s="4"/>
      <c r="N26" s="13">
        <f t="shared" si="0"/>
        <v>339.91200000000003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1E-3</v>
      </c>
      <c r="K27" s="2"/>
      <c r="L27" s="10">
        <f>J27*2832.6</f>
        <v>2.8325999999999998</v>
      </c>
      <c r="M27" s="4"/>
      <c r="N27" s="13">
        <f t="shared" si="0"/>
        <v>33.991199999999999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6.7099999999999993E-2</v>
      </c>
      <c r="K29" s="6"/>
      <c r="L29" s="7">
        <f>J29*2832.6</f>
        <v>190.06745999999998</v>
      </c>
      <c r="M29" s="7"/>
      <c r="N29" s="13">
        <f t="shared" si="0"/>
        <v>2280.8095199999998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8.9999999999999993E-3</v>
      </c>
      <c r="K31" s="2"/>
      <c r="L31" s="10">
        <f>J31*2832.6</f>
        <v>25.493399999999998</v>
      </c>
      <c r="M31" s="4"/>
      <c r="N31" s="13">
        <f t="shared" si="0"/>
        <v>305.92079999999999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8.9999999999999993E-3</v>
      </c>
      <c r="K32" s="2"/>
      <c r="L32" s="10">
        <f t="shared" ref="L32:L51" si="1">J32*2832.6</f>
        <v>25.493399999999998</v>
      </c>
      <c r="M32" s="4"/>
      <c r="N32" s="13">
        <f t="shared" si="0"/>
        <v>305.92079999999999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1.0999999999999999E-2</v>
      </c>
      <c r="K34" s="2"/>
      <c r="L34" s="10">
        <f t="shared" si="1"/>
        <v>31.158599999999996</v>
      </c>
      <c r="M34" s="4"/>
      <c r="N34" s="13">
        <f t="shared" si="0"/>
        <v>373.90319999999997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1.1000000000000001E-3</v>
      </c>
      <c r="K35" s="2"/>
      <c r="L35" s="10">
        <f t="shared" si="1"/>
        <v>3.1158600000000001</v>
      </c>
      <c r="M35" s="4"/>
      <c r="N35" s="13">
        <f t="shared" si="0"/>
        <v>37.390320000000003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8.9999999999999993E-3</v>
      </c>
      <c r="K37" s="2"/>
      <c r="L37" s="10">
        <f t="shared" si="1"/>
        <v>25.493399999999998</v>
      </c>
      <c r="M37" s="4"/>
      <c r="N37" s="13">
        <f t="shared" si="0"/>
        <v>305.92079999999999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3.0000000000000001E-3</v>
      </c>
      <c r="K38" s="2"/>
      <c r="L38" s="10">
        <f t="shared" si="1"/>
        <v>8.4977999999999998</v>
      </c>
      <c r="M38" s="4"/>
      <c r="N38" s="13">
        <f t="shared" si="0"/>
        <v>101.9736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2.5000000000000001E-2</v>
      </c>
      <c r="K41" s="2"/>
      <c r="L41" s="10">
        <f t="shared" si="1"/>
        <v>70.814999999999998</v>
      </c>
      <c r="M41" s="4"/>
      <c r="N41" s="13">
        <f t="shared" si="0"/>
        <v>849.78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311.58600000000001</v>
      </c>
      <c r="M43" s="7"/>
      <c r="N43" s="13">
        <f t="shared" si="0"/>
        <v>3739.0320000000002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110.4714</v>
      </c>
      <c r="M44" s="4"/>
      <c r="N44" s="13">
        <f t="shared" si="0"/>
        <v>1325.6568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42.488999999999997</v>
      </c>
      <c r="M45" s="4"/>
      <c r="N45" s="13">
        <f t="shared" si="0"/>
        <v>509.86799999999994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42.488999999999997</v>
      </c>
      <c r="M46" s="4"/>
      <c r="N46" s="13">
        <f t="shared" si="0"/>
        <v>509.86799999999994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116.1366</v>
      </c>
      <c r="M47" s="4"/>
      <c r="N47" s="13">
        <f t="shared" si="0"/>
        <v>1393.6392000000001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28.326000000000001</v>
      </c>
      <c r="M49" s="7"/>
      <c r="N49" s="13">
        <f t="shared" si="0"/>
        <v>339.91200000000003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963.08400000000006</v>
      </c>
      <c r="M50" s="7"/>
      <c r="N50" s="13">
        <f t="shared" si="0"/>
        <v>11557.008000000002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141.63</v>
      </c>
      <c r="M51" s="2"/>
      <c r="N51" s="13">
        <f t="shared" si="0"/>
        <v>1699.56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5" workbookViewId="0">
      <selection activeCell="N19" sqref="N19"/>
    </sheetView>
  </sheetViews>
  <sheetFormatPr defaultRowHeight="15" x14ac:dyDescent="0.25"/>
  <cols>
    <col min="1" max="3" width="9.140625" style="1"/>
    <col min="4" max="4" width="27.85546875" style="1" customWidth="1"/>
    <col min="5" max="5" width="5.28515625" style="1" customWidth="1"/>
    <col min="6" max="6" width="4.140625" style="1" customWidth="1"/>
    <col min="7" max="8" width="9.140625" style="1"/>
    <col min="9" max="9" width="4.42578125" style="1" customWidth="1"/>
    <col min="10" max="10" width="9.140625" style="1"/>
    <col min="11" max="11" width="4.42578125" style="1" customWidth="1"/>
    <col min="12" max="12" width="9.140625" style="1"/>
    <col min="13" max="13" width="4.140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161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213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162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163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 t="s">
        <v>95</v>
      </c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192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0.127</v>
      </c>
      <c r="K23" s="6"/>
      <c r="L23" s="7">
        <f>L24+L25+L26+L27</f>
        <v>142.9385</v>
      </c>
      <c r="M23" s="6"/>
      <c r="N23" s="13">
        <f>L23*12</f>
        <v>1715.2620000000002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9.6000000000000002E-2</v>
      </c>
      <c r="K24" s="2"/>
      <c r="L24" s="10">
        <f>J24*1125.5</f>
        <v>108.048</v>
      </c>
      <c r="M24" s="4"/>
      <c r="N24" s="13">
        <f t="shared" ref="N24:N51" si="0">L24*12</f>
        <v>1296.576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1.7000000000000001E-2</v>
      </c>
      <c r="K25" s="2"/>
      <c r="L25" s="10">
        <f>J25*1125.5</f>
        <v>19.133500000000002</v>
      </c>
      <c r="M25" s="4"/>
      <c r="N25" s="13">
        <f t="shared" si="0"/>
        <v>229.60200000000003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1.0999999999999999E-2</v>
      </c>
      <c r="K26" s="2"/>
      <c r="L26" s="10">
        <f>J26*1125.5</f>
        <v>12.3805</v>
      </c>
      <c r="M26" s="4"/>
      <c r="N26" s="13">
        <f t="shared" si="0"/>
        <v>148.566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3.0000000000000001E-3</v>
      </c>
      <c r="K27" s="2"/>
      <c r="L27" s="10">
        <f>J27*1125.5</f>
        <v>3.3765000000000001</v>
      </c>
      <c r="M27" s="4"/>
      <c r="N27" s="13">
        <f t="shared" si="0"/>
        <v>40.518000000000001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J31+J32+J34+J37+J41</f>
        <v>9.3099999999999988E-2</v>
      </c>
      <c r="K29" s="6"/>
      <c r="L29" s="7">
        <f>J29*1125.5</f>
        <v>104.78404999999999</v>
      </c>
      <c r="M29" s="7"/>
      <c r="N29" s="13">
        <f t="shared" si="0"/>
        <v>1257.4086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9.2999999999999992E-3</v>
      </c>
      <c r="K31" s="2"/>
      <c r="L31" s="10">
        <f>J31*1125.5</f>
        <v>10.467149999999998</v>
      </c>
      <c r="M31" s="4"/>
      <c r="N31" s="13">
        <f t="shared" si="0"/>
        <v>125.60579999999999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3.0000000000000001E-3</v>
      </c>
      <c r="K32" s="2"/>
      <c r="L32" s="10">
        <f>J32*1125.5</f>
        <v>3.3765000000000001</v>
      </c>
      <c r="M32" s="4"/>
      <c r="N32" s="13">
        <f t="shared" si="0"/>
        <v>40.518000000000001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1.14E-2</v>
      </c>
      <c r="K34" s="2"/>
      <c r="L34" s="10">
        <f>J34*1125.5</f>
        <v>12.8307</v>
      </c>
      <c r="M34" s="4"/>
      <c r="N34" s="13">
        <f t="shared" si="0"/>
        <v>153.9684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9.4000000000000004E-3</v>
      </c>
      <c r="K37" s="2"/>
      <c r="L37" s="10">
        <f>J37*1125.5</f>
        <v>10.579700000000001</v>
      </c>
      <c r="M37" s="4"/>
      <c r="N37" s="13">
        <f t="shared" si="0"/>
        <v>126.9564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10"/>
      <c r="M38" s="4"/>
      <c r="N38" s="13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0.06</v>
      </c>
      <c r="K41" s="2"/>
      <c r="L41" s="10">
        <f>J41*1125.5</f>
        <v>67.53</v>
      </c>
      <c r="M41" s="4"/>
      <c r="N41" s="13">
        <f t="shared" si="0"/>
        <v>810.36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>J43*1125.5</f>
        <v>123.80500000000002</v>
      </c>
      <c r="M43" s="7"/>
      <c r="N43" s="13">
        <f t="shared" si="0"/>
        <v>1485.6600000000003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>J44*1125.5</f>
        <v>43.894500000000001</v>
      </c>
      <c r="M44" s="4"/>
      <c r="N44" s="13">
        <f t="shared" si="0"/>
        <v>526.73400000000004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>J45*1125.5</f>
        <v>16.8825</v>
      </c>
      <c r="M45" s="4"/>
      <c r="N45" s="13">
        <f t="shared" si="0"/>
        <v>202.59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>J46*1125.5</f>
        <v>16.8825</v>
      </c>
      <c r="M46" s="4"/>
      <c r="N46" s="13">
        <f t="shared" si="0"/>
        <v>202.59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>J47*1125.5</f>
        <v>46.145499999999998</v>
      </c>
      <c r="M47" s="4"/>
      <c r="N47" s="13">
        <f t="shared" si="0"/>
        <v>553.74599999999998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>J49*1125.5</f>
        <v>11.255000000000001</v>
      </c>
      <c r="M49" s="7"/>
      <c r="N49" s="13">
        <f t="shared" si="0"/>
        <v>135.06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>J50*1125.5</f>
        <v>382.67</v>
      </c>
      <c r="M50" s="7"/>
      <c r="N50" s="13">
        <f t="shared" si="0"/>
        <v>4592.04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>J51*1125.5</f>
        <v>56.275000000000006</v>
      </c>
      <c r="M51" s="2"/>
      <c r="N51" s="13">
        <f t="shared" si="0"/>
        <v>675.30000000000007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activeCell="N19" sqref="N19"/>
    </sheetView>
  </sheetViews>
  <sheetFormatPr defaultRowHeight="15" x14ac:dyDescent="0.25"/>
  <cols>
    <col min="1" max="3" width="9.140625" style="1"/>
    <col min="4" max="4" width="28.7109375" style="1" customWidth="1"/>
    <col min="5" max="5" width="4.7109375" style="1" customWidth="1"/>
    <col min="6" max="6" width="4.140625" style="1" customWidth="1"/>
    <col min="7" max="8" width="9.140625" style="1"/>
    <col min="9" max="9" width="4" style="1" customWidth="1"/>
    <col min="10" max="10" width="9.140625" style="1"/>
    <col min="11" max="11" width="4.5703125" style="1" customWidth="1"/>
    <col min="12" max="12" width="9.140625" style="1"/>
    <col min="13" max="13" width="4.425781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208</v>
      </c>
    </row>
    <row r="5" spans="1:14" ht="18.75" x14ac:dyDescent="0.3">
      <c r="A5" s="1" t="s">
        <v>1</v>
      </c>
      <c r="D5" s="8" t="s">
        <v>164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214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165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166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167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192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0.17</v>
      </c>
      <c r="K23" s="6"/>
      <c r="L23" s="7">
        <f>J23*1068.84</f>
        <v>181.7028</v>
      </c>
      <c r="M23" s="6"/>
      <c r="N23" s="13">
        <f>L23*12</f>
        <v>2180.4335999999998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0.13200000000000001</v>
      </c>
      <c r="K24" s="2"/>
      <c r="L24" s="10">
        <f>J24*1068.84</f>
        <v>141.08688000000001</v>
      </c>
      <c r="M24" s="4"/>
      <c r="N24" s="13">
        <f t="shared" ref="N24:N51" si="0">L24*12</f>
        <v>1693.0425600000001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2.5999999999999999E-2</v>
      </c>
      <c r="K25" s="2"/>
      <c r="L25" s="10">
        <f>J25*1068.84</f>
        <v>27.789839999999998</v>
      </c>
      <c r="M25" s="4"/>
      <c r="N25" s="13">
        <f t="shared" si="0"/>
        <v>333.47807999999998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8.9999999999999993E-3</v>
      </c>
      <c r="K26" s="2"/>
      <c r="L26" s="10">
        <f>J26*1068.84</f>
        <v>9.6195599999999981</v>
      </c>
      <c r="M26" s="4"/>
      <c r="N26" s="13">
        <f t="shared" si="0"/>
        <v>115.43471999999997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3.0000000000000001E-3</v>
      </c>
      <c r="K27" s="2"/>
      <c r="L27" s="10">
        <f>J27*1068.84</f>
        <v>3.2065199999999998</v>
      </c>
      <c r="M27" s="4"/>
      <c r="N27" s="13">
        <f t="shared" si="0"/>
        <v>38.47824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J31+J32+J34+J35+J37+J38+J41</f>
        <v>5.0099999999999999E-2</v>
      </c>
      <c r="K29" s="6"/>
      <c r="L29" s="7">
        <f>J29*1068.84</f>
        <v>53.548883999999994</v>
      </c>
      <c r="M29" s="7"/>
      <c r="N29" s="13">
        <f t="shared" si="0"/>
        <v>642.58660799999996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8.8000000000000005E-3</v>
      </c>
      <c r="K31" s="2"/>
      <c r="L31" s="10">
        <f>J31*1068.84</f>
        <v>9.4057919999999999</v>
      </c>
      <c r="M31" s="4"/>
      <c r="N31" s="13">
        <f t="shared" si="0"/>
        <v>112.86950400000001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6.0000000000000001E-3</v>
      </c>
      <c r="K32" s="2"/>
      <c r="L32" s="10">
        <f t="shared" ref="L32:L51" si="1">J32*1068.84</f>
        <v>6.4130399999999996</v>
      </c>
      <c r="M32" s="4"/>
      <c r="N32" s="13">
        <f t="shared" si="0"/>
        <v>76.956479999999999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1.1299999999999999E-2</v>
      </c>
      <c r="K34" s="2"/>
      <c r="L34" s="10">
        <f t="shared" si="1"/>
        <v>12.077891999999999</v>
      </c>
      <c r="M34" s="4"/>
      <c r="N34" s="13">
        <f t="shared" si="0"/>
        <v>144.93470399999998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>
        <v>1E-3</v>
      </c>
      <c r="K35" s="2"/>
      <c r="L35" s="10">
        <f t="shared" si="1"/>
        <v>1.06884</v>
      </c>
      <c r="M35" s="4"/>
      <c r="N35" s="13">
        <f t="shared" si="0"/>
        <v>12.826080000000001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8.0000000000000002E-3</v>
      </c>
      <c r="K37" s="2"/>
      <c r="L37" s="10">
        <f t="shared" si="1"/>
        <v>8.5507200000000001</v>
      </c>
      <c r="M37" s="4"/>
      <c r="N37" s="13">
        <f t="shared" si="0"/>
        <v>102.60864000000001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1E-3</v>
      </c>
      <c r="K38" s="2"/>
      <c r="L38" s="10">
        <f t="shared" si="1"/>
        <v>1.06884</v>
      </c>
      <c r="M38" s="4"/>
      <c r="N38" s="13">
        <f t="shared" si="0"/>
        <v>12.826080000000001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1.4E-2</v>
      </c>
      <c r="K41" s="2"/>
      <c r="L41" s="10">
        <f t="shared" si="1"/>
        <v>14.963759999999999</v>
      </c>
      <c r="M41" s="4"/>
      <c r="N41" s="13">
        <f t="shared" si="0"/>
        <v>179.56511999999998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117.5724</v>
      </c>
      <c r="M43" s="7"/>
      <c r="N43" s="13">
        <f t="shared" si="0"/>
        <v>1410.8688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41.684759999999997</v>
      </c>
      <c r="M44" s="4"/>
      <c r="N44" s="13">
        <f t="shared" si="0"/>
        <v>500.21711999999997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16.032599999999999</v>
      </c>
      <c r="M45" s="4"/>
      <c r="N45" s="13">
        <f t="shared" si="0"/>
        <v>192.39119999999997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16.032599999999999</v>
      </c>
      <c r="M46" s="4"/>
      <c r="N46" s="13">
        <f t="shared" si="0"/>
        <v>192.39119999999997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43.82244</v>
      </c>
      <c r="M47" s="4"/>
      <c r="N47" s="13">
        <f t="shared" si="0"/>
        <v>525.86928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10.6884</v>
      </c>
      <c r="M49" s="7"/>
      <c r="N49" s="13">
        <f t="shared" si="0"/>
        <v>128.26079999999999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363.40559999999999</v>
      </c>
      <c r="M50" s="7"/>
      <c r="N50" s="13">
        <f t="shared" si="0"/>
        <v>4360.8671999999997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53.442</v>
      </c>
      <c r="M51" s="2"/>
      <c r="N51" s="13">
        <f t="shared" si="0"/>
        <v>641.30399999999997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4" workbookViewId="0">
      <selection activeCell="N19" sqref="N19"/>
    </sheetView>
  </sheetViews>
  <sheetFormatPr defaultRowHeight="15" x14ac:dyDescent="0.25"/>
  <cols>
    <col min="1" max="3" width="9.140625" style="1"/>
    <col min="4" max="4" width="28.140625" style="1" customWidth="1"/>
    <col min="5" max="5" width="5.42578125" style="1" customWidth="1"/>
    <col min="6" max="6" width="4.28515625" style="1" customWidth="1"/>
    <col min="7" max="8" width="9.140625" style="1"/>
    <col min="9" max="9" width="4.28515625" style="1" customWidth="1"/>
    <col min="10" max="10" width="9.140625" style="1"/>
    <col min="11" max="11" width="4.5703125" style="1" customWidth="1"/>
    <col min="12" max="12" width="9.140625" style="1"/>
    <col min="13" max="13" width="4.140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168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212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 t="s">
        <v>169</v>
      </c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 t="s">
        <v>170</v>
      </c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 t="s">
        <v>171</v>
      </c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191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J24+J25+J26+J27</f>
        <v>0.122</v>
      </c>
      <c r="K23" s="6"/>
      <c r="L23" s="7">
        <f>J23*2024.66</f>
        <v>247.00852</v>
      </c>
      <c r="M23" s="6"/>
      <c r="N23" s="13">
        <f>L23*12</f>
        <v>2964.1022400000002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8.8999999999999996E-2</v>
      </c>
      <c r="K24" s="2"/>
      <c r="L24" s="10">
        <f>J24*2024.66</f>
        <v>180.19474</v>
      </c>
      <c r="M24" s="4"/>
      <c r="N24" s="13">
        <f t="shared" ref="N24:N51" si="0">L24*12</f>
        <v>2162.3368799999998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0.02</v>
      </c>
      <c r="K25" s="2"/>
      <c r="L25" s="10">
        <f>J25*2024.66</f>
        <v>40.493200000000002</v>
      </c>
      <c r="M25" s="4"/>
      <c r="N25" s="13">
        <f t="shared" si="0"/>
        <v>485.91840000000002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1.0999999999999999E-2</v>
      </c>
      <c r="K26" s="2"/>
      <c r="L26" s="10">
        <f>J26*2024.66</f>
        <v>22.271259999999998</v>
      </c>
      <c r="M26" s="4"/>
      <c r="N26" s="13">
        <f t="shared" si="0"/>
        <v>267.25511999999998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2E-3</v>
      </c>
      <c r="K27" s="2"/>
      <c r="L27" s="10">
        <f>J27*2024.66</f>
        <v>4.0493199999999998</v>
      </c>
      <c r="M27" s="4"/>
      <c r="N27" s="13">
        <f t="shared" si="0"/>
        <v>48.591839999999998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J31+J32+J34+J37+J38+J41</f>
        <v>9.8000000000000004E-2</v>
      </c>
      <c r="K29" s="6"/>
      <c r="L29" s="7">
        <f>J29*2024.66</f>
        <v>198.41668000000001</v>
      </c>
      <c r="M29" s="7"/>
      <c r="N29" s="13">
        <f t="shared" si="0"/>
        <v>2381.0001600000001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9.7000000000000003E-3</v>
      </c>
      <c r="K31" s="2"/>
      <c r="L31" s="10">
        <f>J31*2024.66</f>
        <v>19.639202000000001</v>
      </c>
      <c r="M31" s="4"/>
      <c r="N31" s="13">
        <f t="shared" si="0"/>
        <v>235.67042400000003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4.0000000000000001E-3</v>
      </c>
      <c r="K32" s="2"/>
      <c r="L32" s="10">
        <f t="shared" ref="L32:L51" si="1">J32*2024.66</f>
        <v>8.0986399999999996</v>
      </c>
      <c r="M32" s="4"/>
      <c r="N32" s="13">
        <f t="shared" si="0"/>
        <v>97.183679999999995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34</v>
      </c>
      <c r="F34" s="2"/>
      <c r="G34" s="2" t="s">
        <v>49</v>
      </c>
      <c r="H34" s="2"/>
      <c r="I34" s="2"/>
      <c r="J34" s="2">
        <v>1.17E-2</v>
      </c>
      <c r="K34" s="2"/>
      <c r="L34" s="10">
        <f t="shared" si="1"/>
        <v>23.688522000000003</v>
      </c>
      <c r="M34" s="4"/>
      <c r="N34" s="13">
        <f t="shared" si="0"/>
        <v>284.26226400000002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34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1"/>
        <v>19.436736</v>
      </c>
      <c r="M37" s="4"/>
      <c r="N37" s="13">
        <f t="shared" si="0"/>
        <v>233.24083200000001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3.0000000000000001E-3</v>
      </c>
      <c r="K38" s="2"/>
      <c r="L38" s="10">
        <f t="shared" si="1"/>
        <v>6.0739800000000006</v>
      </c>
      <c r="M38" s="4"/>
      <c r="N38" s="13">
        <f t="shared" si="0"/>
        <v>72.887760000000014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0.06</v>
      </c>
      <c r="K41" s="2"/>
      <c r="L41" s="10">
        <f t="shared" si="1"/>
        <v>121.4796</v>
      </c>
      <c r="M41" s="4"/>
      <c r="N41" s="13">
        <f t="shared" si="0"/>
        <v>1457.7552000000001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222.71260000000004</v>
      </c>
      <c r="M43" s="7"/>
      <c r="N43" s="13">
        <f t="shared" si="0"/>
        <v>2672.5512000000003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78.961740000000006</v>
      </c>
      <c r="M44" s="4"/>
      <c r="N44" s="13">
        <f t="shared" si="0"/>
        <v>947.54088000000002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30.369900000000001</v>
      </c>
      <c r="M45" s="4"/>
      <c r="N45" s="13">
        <f t="shared" si="0"/>
        <v>364.43880000000001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30.369900000000001</v>
      </c>
      <c r="M46" s="4"/>
      <c r="N46" s="13">
        <f t="shared" si="0"/>
        <v>364.43880000000001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83.011060000000001</v>
      </c>
      <c r="M47" s="4"/>
      <c r="N47" s="13">
        <f t="shared" si="0"/>
        <v>996.13272000000006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20.246600000000001</v>
      </c>
      <c r="M49" s="7"/>
      <c r="N49" s="13">
        <f t="shared" si="0"/>
        <v>242.95920000000001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0.34</v>
      </c>
      <c r="K50" s="6"/>
      <c r="L50" s="7">
        <f t="shared" si="1"/>
        <v>688.38440000000003</v>
      </c>
      <c r="M50" s="7"/>
      <c r="N50" s="13">
        <f t="shared" si="0"/>
        <v>8260.6128000000008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0.05</v>
      </c>
      <c r="K51" s="2"/>
      <c r="L51" s="7">
        <f t="shared" si="1"/>
        <v>101.233</v>
      </c>
      <c r="M51" s="2"/>
      <c r="N51" s="13">
        <f t="shared" si="0"/>
        <v>1214.796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activeCell="N19" sqref="N19"/>
    </sheetView>
  </sheetViews>
  <sheetFormatPr defaultRowHeight="15" x14ac:dyDescent="0.25"/>
  <cols>
    <col min="1" max="3" width="9.140625" style="1"/>
    <col min="4" max="4" width="27.85546875" style="1" customWidth="1"/>
    <col min="5" max="5" width="5.28515625" style="1" customWidth="1"/>
    <col min="6" max="6" width="4.5703125" style="1" customWidth="1"/>
    <col min="7" max="8" width="9.140625" style="1"/>
    <col min="9" max="9" width="4.28515625" style="1" customWidth="1"/>
    <col min="10" max="10" width="9.140625" style="1"/>
    <col min="11" max="11" width="4" style="1" customWidth="1"/>
    <col min="12" max="12" width="9.140625" style="1"/>
    <col min="13" max="13" width="4.140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172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173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</f>
        <v>1.7999999999999999E-2</v>
      </c>
      <c r="K23" s="6"/>
      <c r="L23" s="7">
        <f>J23*220.27</f>
        <v>3.9648599999999998</v>
      </c>
      <c r="M23" s="6"/>
      <c r="N23" s="13">
        <f>L23*12</f>
        <v>47.578319999999998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7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1.7999999999999999E-2</v>
      </c>
      <c r="K25" s="2"/>
      <c r="L25" s="10">
        <f t="shared" ref="L25:L50" si="0">J25*220.27</f>
        <v>3.9648599999999998</v>
      </c>
      <c r="M25" s="4"/>
      <c r="N25" s="13">
        <f t="shared" ref="N25:N50" si="1">L25*12</f>
        <v>47.578319999999998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86</v>
      </c>
      <c r="F26" s="2"/>
      <c r="G26" s="2" t="s">
        <v>41</v>
      </c>
      <c r="H26" s="2"/>
      <c r="I26" s="2"/>
      <c r="J26" s="2"/>
      <c r="K26" s="2"/>
      <c r="L26" s="7"/>
      <c r="M26" s="4"/>
      <c r="N26" s="13"/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7"/>
      <c r="M27" s="4"/>
      <c r="N27" s="13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J32+J41+J31+J37</f>
        <v>0.10150000000000001</v>
      </c>
      <c r="K29" s="6"/>
      <c r="L29" s="7">
        <f t="shared" si="0"/>
        <v>22.357405000000004</v>
      </c>
      <c r="M29" s="7"/>
      <c r="N29" s="13">
        <f t="shared" si="1"/>
        <v>268.28886000000006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7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 t="shared" si="0"/>
        <v>2.1806730000000001</v>
      </c>
      <c r="M31" s="4"/>
      <c r="N31" s="13">
        <f t="shared" si="1"/>
        <v>26.168075999999999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1.4E-2</v>
      </c>
      <c r="K32" s="2"/>
      <c r="L32" s="10">
        <f t="shared" si="0"/>
        <v>3.0837800000000004</v>
      </c>
      <c r="M32" s="4"/>
      <c r="N32" s="13">
        <f t="shared" si="1"/>
        <v>37.005360000000003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0"/>
        <v>2.114592</v>
      </c>
      <c r="M37" s="4"/>
      <c r="N37" s="13">
        <f t="shared" si="1"/>
        <v>25.375104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10"/>
      <c r="M38" s="4"/>
      <c r="N38" s="13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6.8000000000000005E-2</v>
      </c>
      <c r="K41" s="2"/>
      <c r="L41" s="10">
        <f t="shared" si="0"/>
        <v>14.978360000000002</v>
      </c>
      <c r="M41" s="4"/>
      <c r="N41" s="13">
        <f t="shared" si="1"/>
        <v>179.74032000000003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0"/>
        <v>24.229700000000005</v>
      </c>
      <c r="M43" s="7"/>
      <c r="N43" s="13">
        <f t="shared" si="1"/>
        <v>290.75640000000004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0"/>
        <v>8.5905300000000011</v>
      </c>
      <c r="M44" s="4"/>
      <c r="N44" s="13">
        <f t="shared" si="1"/>
        <v>103.08636000000001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0"/>
        <v>3.3040500000000002</v>
      </c>
      <c r="M45" s="4"/>
      <c r="N45" s="13">
        <f t="shared" si="1"/>
        <v>39.648600000000002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0"/>
        <v>3.3040500000000002</v>
      </c>
      <c r="M46" s="4"/>
      <c r="N46" s="13">
        <f t="shared" si="1"/>
        <v>39.648600000000002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0"/>
        <v>9.0310700000000015</v>
      </c>
      <c r="M47" s="4"/>
      <c r="N47" s="13">
        <f t="shared" si="1"/>
        <v>108.37284000000002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0"/>
        <v>2.2027000000000001</v>
      </c>
      <c r="M49" s="7"/>
      <c r="N49" s="13">
        <f t="shared" si="1"/>
        <v>26.432400000000001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0.24</v>
      </c>
      <c r="K50" s="6"/>
      <c r="L50" s="7">
        <f t="shared" si="0"/>
        <v>52.864800000000002</v>
      </c>
      <c r="M50" s="7"/>
      <c r="N50" s="13">
        <f t="shared" si="1"/>
        <v>634.37760000000003</v>
      </c>
    </row>
    <row r="51" spans="1:14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/>
      <c r="K51" s="2"/>
      <c r="L51" s="5"/>
      <c r="M51" s="2"/>
      <c r="N51" s="5"/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34" workbookViewId="0">
      <selection activeCell="N50" sqref="N50"/>
    </sheetView>
  </sheetViews>
  <sheetFormatPr defaultRowHeight="15" x14ac:dyDescent="0.25"/>
  <cols>
    <col min="1" max="3" width="9.140625" style="1"/>
    <col min="4" max="4" width="27.85546875" style="1" customWidth="1"/>
    <col min="5" max="5" width="5.5703125" style="1" customWidth="1"/>
    <col min="6" max="6" width="4.42578125" style="1" customWidth="1"/>
    <col min="7" max="8" width="9.140625" style="1"/>
    <col min="9" max="9" width="4.28515625" style="1" customWidth="1"/>
    <col min="10" max="10" width="9.140625" style="1"/>
    <col min="11" max="11" width="4.28515625" style="1" customWidth="1"/>
    <col min="12" max="12" width="9.140625" style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174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203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6"/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4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86</v>
      </c>
      <c r="F25" s="2"/>
      <c r="G25" s="2" t="s">
        <v>38</v>
      </c>
      <c r="H25" s="2"/>
      <c r="I25" s="2"/>
      <c r="J25" s="2"/>
      <c r="K25" s="2"/>
      <c r="L25" s="10"/>
      <c r="M25" s="4"/>
      <c r="N25" s="4"/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86</v>
      </c>
      <c r="F26" s="2"/>
      <c r="G26" s="2" t="s">
        <v>41</v>
      </c>
      <c r="H26" s="2"/>
      <c r="I26" s="2"/>
      <c r="J26" s="2"/>
      <c r="K26" s="2"/>
      <c r="L26" s="10"/>
      <c r="M26" s="4"/>
      <c r="N26" s="4"/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10"/>
      <c r="M27" s="4"/>
      <c r="N27" s="4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4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J41+J37</f>
        <v>0</v>
      </c>
      <c r="K29" s="6"/>
      <c r="L29" s="7">
        <f>L37+L41</f>
        <v>0</v>
      </c>
      <c r="M29" s="7"/>
      <c r="N29" s="7">
        <f>L29*12</f>
        <v>0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7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/>
      <c r="K31" s="2"/>
      <c r="L31" s="10"/>
      <c r="M31" s="4"/>
      <c r="N31" s="7"/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/>
      <c r="K32" s="2"/>
      <c r="L32" s="10"/>
      <c r="M32" s="4"/>
      <c r="N32" s="7"/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7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7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7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7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/>
      <c r="K37" s="2"/>
      <c r="L37" s="10">
        <f>J37*132.36</f>
        <v>0</v>
      </c>
      <c r="M37" s="4"/>
      <c r="N37" s="7">
        <f t="shared" ref="N37:N50" si="0">L37*12</f>
        <v>0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10"/>
      <c r="M38" s="4"/>
      <c r="N38" s="7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7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7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/>
      <c r="K41" s="2"/>
      <c r="L41" s="10">
        <f t="shared" ref="L41:L50" si="1">J41*132.36</f>
        <v>0</v>
      </c>
      <c r="M41" s="4"/>
      <c r="N41" s="7">
        <f t="shared" si="0"/>
        <v>0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7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14.559600000000003</v>
      </c>
      <c r="M43" s="7"/>
      <c r="N43" s="7">
        <f t="shared" si="0"/>
        <v>174.71520000000004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5.1620400000000002</v>
      </c>
      <c r="M44" s="4"/>
      <c r="N44" s="7">
        <f t="shared" si="0"/>
        <v>61.944479999999999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1.9854000000000001</v>
      </c>
      <c r="M45" s="4"/>
      <c r="N45" s="7">
        <f t="shared" si="0"/>
        <v>23.8248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1.9854000000000001</v>
      </c>
      <c r="M46" s="4"/>
      <c r="N46" s="7">
        <f t="shared" si="0"/>
        <v>23.8248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5.4267600000000007</v>
      </c>
      <c r="M47" s="4"/>
      <c r="N47" s="7">
        <f t="shared" si="0"/>
        <v>65.121120000000005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7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1.3236000000000001</v>
      </c>
      <c r="M49" s="7"/>
      <c r="N49" s="7">
        <f t="shared" si="0"/>
        <v>15.883200000000002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0.11</v>
      </c>
      <c r="K50" s="6"/>
      <c r="L50" s="7">
        <f t="shared" si="1"/>
        <v>14.559600000000001</v>
      </c>
      <c r="M50" s="7"/>
      <c r="N50" s="7">
        <f t="shared" si="0"/>
        <v>174.71520000000001</v>
      </c>
    </row>
    <row r="51" spans="1:14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/>
      <c r="K51" s="2"/>
      <c r="L51" s="5"/>
      <c r="M51" s="2"/>
      <c r="N51" s="5"/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7" workbookViewId="0">
      <selection activeCell="N19" sqref="N19"/>
    </sheetView>
  </sheetViews>
  <sheetFormatPr defaultRowHeight="15" x14ac:dyDescent="0.25"/>
  <cols>
    <col min="1" max="3" width="9.140625" style="1"/>
    <col min="4" max="4" width="25.7109375" style="1" customWidth="1"/>
    <col min="5" max="5" width="5.5703125" style="1" customWidth="1"/>
    <col min="6" max="6" width="4.42578125" style="1" customWidth="1"/>
    <col min="7" max="8" width="9.140625" style="1"/>
    <col min="9" max="9" width="4.28515625" style="1" customWidth="1"/>
    <col min="10" max="10" width="9.140625" style="1"/>
    <col min="11" max="11" width="2.5703125" style="1" customWidth="1"/>
    <col min="12" max="12" width="9.140625" style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204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211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6"/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4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86</v>
      </c>
      <c r="F25" s="2"/>
      <c r="G25" s="2" t="s">
        <v>38</v>
      </c>
      <c r="H25" s="2"/>
      <c r="I25" s="2"/>
      <c r="J25" s="2"/>
      <c r="K25" s="2"/>
      <c r="L25" s="10"/>
      <c r="M25" s="4"/>
      <c r="N25" s="4"/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86</v>
      </c>
      <c r="F26" s="2"/>
      <c r="G26" s="2" t="s">
        <v>41</v>
      </c>
      <c r="H26" s="2"/>
      <c r="I26" s="2"/>
      <c r="J26" s="2"/>
      <c r="K26" s="2"/>
      <c r="L26" s="10"/>
      <c r="M26" s="4"/>
      <c r="N26" s="4"/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10"/>
      <c r="M27" s="4"/>
      <c r="N27" s="4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4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J31+J34+J37+J41+J32+J35+J38</f>
        <v>0.15019999999999997</v>
      </c>
      <c r="K29" s="6"/>
      <c r="L29" s="7">
        <f>J29*1161.5</f>
        <v>174.45729999999998</v>
      </c>
      <c r="M29" s="7"/>
      <c r="N29" s="7">
        <f>L29*12</f>
        <v>2093.4875999999995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7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>J31*1161.5</f>
        <v>11.498850000000001</v>
      </c>
      <c r="M31" s="4"/>
      <c r="N31" s="7">
        <f>L31*12</f>
        <v>137.9862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0.02</v>
      </c>
      <c r="K32" s="2"/>
      <c r="L32" s="10">
        <f>J32*1161.5</f>
        <v>23.23</v>
      </c>
      <c r="M32" s="4"/>
      <c r="N32" s="7">
        <f>L32*12</f>
        <v>278.76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7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>
        <v>1.17E-2</v>
      </c>
      <c r="K34" s="2"/>
      <c r="L34" s="10">
        <f>J34*1161.5</f>
        <v>13.589550000000001</v>
      </c>
      <c r="M34" s="4"/>
      <c r="N34" s="7">
        <f>L34*12</f>
        <v>163.0746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>
        <v>0.02</v>
      </c>
      <c r="K35" s="2"/>
      <c r="L35" s="10">
        <f>J35*1161.5</f>
        <v>23.23</v>
      </c>
      <c r="M35" s="4"/>
      <c r="N35" s="7">
        <f>L35*12</f>
        <v>278.76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7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>J37*1161.5</f>
        <v>11.150399999999999</v>
      </c>
      <c r="M37" s="4"/>
      <c r="N37" s="7">
        <f>L37*12</f>
        <v>133.8048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1E-3</v>
      </c>
      <c r="K38" s="2"/>
      <c r="L38" s="10">
        <f>J38*1161.5</f>
        <v>1.1615</v>
      </c>
      <c r="M38" s="4"/>
      <c r="N38" s="7">
        <f>L38*12</f>
        <v>13.937999999999999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7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7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7.8E-2</v>
      </c>
      <c r="K41" s="2"/>
      <c r="L41" s="10">
        <f>J41*1161.5</f>
        <v>90.596999999999994</v>
      </c>
      <c r="M41" s="4"/>
      <c r="N41" s="7">
        <f t="shared" ref="N41:N50" si="0">L41*12</f>
        <v>1087.164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7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>J43*1161.5</f>
        <v>127.76500000000001</v>
      </c>
      <c r="M43" s="7"/>
      <c r="N43" s="7">
        <f t="shared" si="0"/>
        <v>1533.1800000000003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>J44*1161.5</f>
        <v>45.298499999999997</v>
      </c>
      <c r="M44" s="4"/>
      <c r="N44" s="7">
        <f t="shared" si="0"/>
        <v>543.58199999999999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>J45*1161.5</f>
        <v>17.422499999999999</v>
      </c>
      <c r="M45" s="4"/>
      <c r="N45" s="7">
        <f t="shared" si="0"/>
        <v>209.07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>J46*1161.5</f>
        <v>17.422499999999999</v>
      </c>
      <c r="M46" s="4"/>
      <c r="N46" s="7">
        <f t="shared" si="0"/>
        <v>209.07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>J47*1161.5</f>
        <v>47.621500000000005</v>
      </c>
      <c r="M47" s="4"/>
      <c r="N47" s="7">
        <f t="shared" si="0"/>
        <v>571.45800000000008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7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>J49*1161.5</f>
        <v>11.615</v>
      </c>
      <c r="M49" s="7"/>
      <c r="N49" s="7">
        <f t="shared" si="0"/>
        <v>139.38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f>J29+J43+J49</f>
        <v>0.2702</v>
      </c>
      <c r="K50" s="6"/>
      <c r="L50" s="7">
        <f>J50*1161.5</f>
        <v>313.83729999999997</v>
      </c>
      <c r="M50" s="7"/>
      <c r="N50" s="7">
        <f t="shared" si="0"/>
        <v>3766.0475999999999</v>
      </c>
    </row>
    <row r="51" spans="1:14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/>
      <c r="K51" s="2"/>
      <c r="L51" s="5"/>
      <c r="M51" s="2"/>
      <c r="N51" s="5"/>
    </row>
    <row r="54" spans="1:14" x14ac:dyDescent="0.25">
      <c r="A54" s="1" t="s">
        <v>207</v>
      </c>
    </row>
  </sheetData>
  <pageMargins left="0.7" right="0.7" top="0.75" bottom="0.75" header="0.3" footer="0.3"/>
  <pageSetup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11" workbookViewId="0">
      <selection activeCell="N19" sqref="N19"/>
    </sheetView>
  </sheetViews>
  <sheetFormatPr defaultRowHeight="15" x14ac:dyDescent="0.25"/>
  <cols>
    <col min="1" max="3" width="9.140625" style="1"/>
    <col min="4" max="4" width="25.7109375" style="1" customWidth="1"/>
    <col min="5" max="5" width="5.5703125" style="1" customWidth="1"/>
    <col min="6" max="6" width="4.42578125" style="1" customWidth="1"/>
    <col min="7" max="8" width="9.140625" style="1"/>
    <col min="9" max="9" width="4.28515625" style="1" customWidth="1"/>
    <col min="10" max="10" width="9.140625" style="1"/>
    <col min="11" max="11" width="2.5703125" style="1" customWidth="1"/>
    <col min="12" max="12" width="9.140625" style="1"/>
    <col min="13" max="13" width="4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205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210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6"/>
      <c r="N23" s="6"/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4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86</v>
      </c>
      <c r="F25" s="2"/>
      <c r="G25" s="2" t="s">
        <v>38</v>
      </c>
      <c r="H25" s="2"/>
      <c r="I25" s="2"/>
      <c r="J25" s="2"/>
      <c r="K25" s="2"/>
      <c r="L25" s="10"/>
      <c r="M25" s="4"/>
      <c r="N25" s="4"/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86</v>
      </c>
      <c r="F26" s="2"/>
      <c r="G26" s="2" t="s">
        <v>41</v>
      </c>
      <c r="H26" s="2"/>
      <c r="I26" s="2"/>
      <c r="J26" s="2"/>
      <c r="K26" s="2"/>
      <c r="L26" s="10"/>
      <c r="M26" s="4"/>
      <c r="N26" s="4"/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10"/>
      <c r="M27" s="4"/>
      <c r="N27" s="4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4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J31+J34+J37+J41+J32+J35+J38</f>
        <v>0.15019999999999997</v>
      </c>
      <c r="K29" s="6"/>
      <c r="L29" s="10">
        <f>J29*1289.7</f>
        <v>193.71293999999997</v>
      </c>
      <c r="M29" s="7"/>
      <c r="N29" s="7">
        <f>L29*12</f>
        <v>2324.5552799999996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7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>J31*1289.7</f>
        <v>12.768030000000001</v>
      </c>
      <c r="M31" s="4"/>
      <c r="N31" s="7">
        <f>L31*12</f>
        <v>153.21636000000001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0.02</v>
      </c>
      <c r="K32" s="2"/>
      <c r="L32" s="10">
        <f>J32*1289.7</f>
        <v>25.794</v>
      </c>
      <c r="M32" s="4"/>
      <c r="N32" s="7">
        <f>L32*12</f>
        <v>309.52800000000002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7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>
        <v>1.17E-2</v>
      </c>
      <c r="K34" s="2"/>
      <c r="L34" s="10">
        <f>J34*1289.7</f>
        <v>15.089490000000001</v>
      </c>
      <c r="M34" s="4"/>
      <c r="N34" s="7">
        <f>L34*12</f>
        <v>181.07388000000003</v>
      </c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>
        <v>0.02</v>
      </c>
      <c r="K35" s="2"/>
      <c r="L35" s="10">
        <f>J35*1289.7</f>
        <v>25.794</v>
      </c>
      <c r="M35" s="4"/>
      <c r="N35" s="7">
        <f>L35*12</f>
        <v>309.52800000000002</v>
      </c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7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>J37*1289.7</f>
        <v>12.381119999999999</v>
      </c>
      <c r="M37" s="4"/>
      <c r="N37" s="7">
        <f>L37*12</f>
        <v>148.57344000000001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1E-3</v>
      </c>
      <c r="K38" s="2"/>
      <c r="L38" s="10">
        <f>J38*1289.7</f>
        <v>1.2897000000000001</v>
      </c>
      <c r="M38" s="4"/>
      <c r="N38" s="7">
        <f>L38*12</f>
        <v>15.476400000000002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7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7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7.8E-2</v>
      </c>
      <c r="K41" s="2"/>
      <c r="L41" s="10">
        <f>J41*1289.7</f>
        <v>100.59660000000001</v>
      </c>
      <c r="M41" s="4"/>
      <c r="N41" s="7">
        <f t="shared" ref="N41:N50" si="0">L41*12</f>
        <v>1207.1592000000001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7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10">
        <f>J43*1289.7</f>
        <v>141.86700000000002</v>
      </c>
      <c r="M43" s="7"/>
      <c r="N43" s="7">
        <f t="shared" si="0"/>
        <v>1702.4040000000002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>J44*1289.7</f>
        <v>50.298300000000005</v>
      </c>
      <c r="M44" s="4"/>
      <c r="N44" s="7">
        <f t="shared" si="0"/>
        <v>603.57960000000003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>J45*1289.7</f>
        <v>19.345500000000001</v>
      </c>
      <c r="M45" s="4"/>
      <c r="N45" s="7">
        <f t="shared" si="0"/>
        <v>232.14600000000002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>J46*1289.7</f>
        <v>19.345500000000001</v>
      </c>
      <c r="M46" s="4"/>
      <c r="N46" s="7">
        <f t="shared" si="0"/>
        <v>232.14600000000002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>J47*1289.7</f>
        <v>52.877700000000004</v>
      </c>
      <c r="M47" s="4"/>
      <c r="N47" s="7">
        <f t="shared" si="0"/>
        <v>634.53240000000005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7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>J49*1289.7</f>
        <v>12.897</v>
      </c>
      <c r="M49" s="7"/>
      <c r="N49" s="7">
        <f t="shared" si="0"/>
        <v>154.76400000000001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f>J29+J43+J49</f>
        <v>0.2702</v>
      </c>
      <c r="K50" s="6"/>
      <c r="L50" s="10">
        <f>J50*1289.7</f>
        <v>348.47694000000001</v>
      </c>
      <c r="M50" s="7"/>
      <c r="N50" s="7">
        <f t="shared" si="0"/>
        <v>4181.7232800000002</v>
      </c>
    </row>
    <row r="51" spans="1:14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/>
      <c r="K51" s="2"/>
      <c r="L51" s="5"/>
      <c r="M51" s="2"/>
      <c r="N51" s="5"/>
    </row>
    <row r="54" spans="1:14" x14ac:dyDescent="0.25">
      <c r="A54" s="1" t="s">
        <v>207</v>
      </c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4" workbookViewId="0">
      <selection activeCell="N27" sqref="N27"/>
    </sheetView>
  </sheetViews>
  <sheetFormatPr defaultRowHeight="15" x14ac:dyDescent="0.25"/>
  <cols>
    <col min="1" max="3" width="9.140625" style="1"/>
    <col min="4" max="4" width="26" style="1" customWidth="1"/>
    <col min="5" max="5" width="9.140625" style="1"/>
    <col min="6" max="6" width="4.7109375" style="1" customWidth="1"/>
    <col min="7" max="8" width="9.140625" style="1"/>
    <col min="9" max="9" width="4.7109375" style="1" customWidth="1"/>
    <col min="10" max="10" width="9.140625" style="1"/>
    <col min="11" max="11" width="4" style="1" customWidth="1"/>
    <col min="12" max="12" width="9.140625" style="1"/>
    <col min="13" max="13" width="3.425781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87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228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83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</f>
        <v>6.8000000000000005E-2</v>
      </c>
      <c r="K23" s="6"/>
      <c r="L23" s="7">
        <f>L25+L26</f>
        <v>20.175599999999999</v>
      </c>
      <c r="M23" s="6"/>
      <c r="N23" s="13">
        <f>L23*12</f>
        <v>242.10719999999998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10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5.5E-2</v>
      </c>
      <c r="K25" s="2"/>
      <c r="L25" s="10">
        <f>J25*296.7</f>
        <v>16.3185</v>
      </c>
      <c r="M25" s="4"/>
      <c r="N25" s="13">
        <f t="shared" ref="N25:N51" si="0">L25*12</f>
        <v>195.822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1.2999999999999999E-2</v>
      </c>
      <c r="K26" s="2"/>
      <c r="L26" s="10">
        <f>J26*296.7</f>
        <v>3.8570999999999995</v>
      </c>
      <c r="M26" s="4"/>
      <c r="N26" s="13">
        <f t="shared" si="0"/>
        <v>46.285199999999996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10"/>
      <c r="M27" s="4"/>
      <c r="N27" s="13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J31+J32+J37+J41</f>
        <v>8.199999999999999E-2</v>
      </c>
      <c r="K29" s="6"/>
      <c r="L29" s="7">
        <f>J29*296.7</f>
        <v>24.329399999999996</v>
      </c>
      <c r="M29" s="7"/>
      <c r="N29" s="13">
        <f t="shared" si="0"/>
        <v>291.95279999999997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9.4000000000000004E-3</v>
      </c>
      <c r="K31" s="2"/>
      <c r="L31" s="10">
        <f t="shared" ref="L31:L51" si="1">J31*296.7</f>
        <v>2.78898</v>
      </c>
      <c r="M31" s="4"/>
      <c r="N31" s="13">
        <f t="shared" si="0"/>
        <v>33.467759999999998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1.6E-2</v>
      </c>
      <c r="K32" s="2"/>
      <c r="L32" s="10">
        <f t="shared" si="1"/>
        <v>4.7472000000000003</v>
      </c>
      <c r="M32" s="4"/>
      <c r="N32" s="13">
        <f t="shared" si="0"/>
        <v>56.966400000000007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1"/>
        <v>2.8483199999999997</v>
      </c>
      <c r="M37" s="4"/>
      <c r="N37" s="13">
        <f t="shared" si="0"/>
        <v>34.179839999999999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10"/>
      <c r="M38" s="4"/>
      <c r="N38" s="13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4.7E-2</v>
      </c>
      <c r="K41" s="2"/>
      <c r="L41" s="10">
        <f t="shared" si="1"/>
        <v>13.944899999999999</v>
      </c>
      <c r="M41" s="4"/>
      <c r="N41" s="13">
        <f t="shared" si="0"/>
        <v>167.33879999999999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32.637</v>
      </c>
      <c r="M43" s="7"/>
      <c r="N43" s="13">
        <f t="shared" si="0"/>
        <v>391.64400000000001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11.571299999999999</v>
      </c>
      <c r="M44" s="4"/>
      <c r="N44" s="13">
        <f t="shared" si="0"/>
        <v>138.85559999999998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4.4504999999999999</v>
      </c>
      <c r="M45" s="4"/>
      <c r="N45" s="13">
        <f t="shared" si="0"/>
        <v>53.405999999999999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4.4504999999999999</v>
      </c>
      <c r="M46" s="4"/>
      <c r="N46" s="13">
        <f t="shared" si="0"/>
        <v>53.405999999999999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12.1647</v>
      </c>
      <c r="M47" s="4"/>
      <c r="N47" s="13">
        <f t="shared" si="0"/>
        <v>145.97640000000001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2.9670000000000001</v>
      </c>
      <c r="M49" s="7"/>
      <c r="N49" s="13">
        <f t="shared" si="0"/>
        <v>35.603999999999999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0.27</v>
      </c>
      <c r="K50" s="6"/>
      <c r="L50" s="7">
        <f t="shared" si="1"/>
        <v>80.109000000000009</v>
      </c>
      <c r="M50" s="7"/>
      <c r="N50" s="13">
        <f t="shared" si="0"/>
        <v>961.30800000000011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20.769000000000002</v>
      </c>
      <c r="M51" s="2"/>
      <c r="N51" s="13">
        <f t="shared" si="0"/>
        <v>249.22800000000001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3" workbookViewId="0">
      <selection activeCell="J26" sqref="J26"/>
    </sheetView>
  </sheetViews>
  <sheetFormatPr defaultRowHeight="15" x14ac:dyDescent="0.25"/>
  <cols>
    <col min="1" max="3" width="9.140625" style="1"/>
    <col min="4" max="4" width="26.42578125" style="1" customWidth="1"/>
    <col min="5" max="5" width="6.28515625" style="1" customWidth="1"/>
    <col min="6" max="6" width="3.85546875" style="1" customWidth="1"/>
    <col min="7" max="8" width="9.140625" style="1"/>
    <col min="9" max="9" width="4.5703125" style="1" customWidth="1"/>
    <col min="10" max="10" width="9.140625" style="1"/>
    <col min="11" max="11" width="3.5703125" style="1" customWidth="1"/>
    <col min="12" max="12" width="9.140625" style="1"/>
    <col min="13" max="13" width="3.425781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208</v>
      </c>
    </row>
    <row r="5" spans="1:14" ht="18.75" x14ac:dyDescent="0.3">
      <c r="A5" s="1" t="s">
        <v>1</v>
      </c>
      <c r="D5" s="8" t="s">
        <v>88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193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83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>
        <f>N23+N29+N43+N49</f>
        <v>922.83780000000013</v>
      </c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</f>
        <v>6.5000000000000002E-2</v>
      </c>
      <c r="K23" s="6"/>
      <c r="L23" s="7">
        <f>J23*284.3</f>
        <v>18.479500000000002</v>
      </c>
      <c r="M23" s="6"/>
      <c r="N23" s="13">
        <f>L23*12</f>
        <v>221.75400000000002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7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5.6000000000000001E-2</v>
      </c>
      <c r="K25" s="2"/>
      <c r="L25" s="10">
        <f t="shared" ref="L25:L51" si="0">J25*284.3</f>
        <v>15.920800000000002</v>
      </c>
      <c r="M25" s="4"/>
      <c r="N25" s="13">
        <f t="shared" ref="N25:N51" si="1">L25*12</f>
        <v>191.04960000000003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8.9999999999999993E-3</v>
      </c>
      <c r="K26" s="2"/>
      <c r="L26" s="10">
        <f t="shared" si="0"/>
        <v>2.5587</v>
      </c>
      <c r="M26" s="4"/>
      <c r="N26" s="13">
        <f t="shared" si="1"/>
        <v>30.7044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86</v>
      </c>
      <c r="F27" s="2"/>
      <c r="G27" s="2" t="s">
        <v>44</v>
      </c>
      <c r="H27" s="2"/>
      <c r="I27" s="2"/>
      <c r="J27" s="2"/>
      <c r="K27" s="2"/>
      <c r="L27" s="7"/>
      <c r="M27" s="4"/>
      <c r="N27" s="13"/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J31+J37+J41</f>
        <v>8.5500000000000007E-2</v>
      </c>
      <c r="K29" s="6"/>
      <c r="L29" s="7">
        <f t="shared" si="0"/>
        <v>24.307650000000002</v>
      </c>
      <c r="M29" s="7"/>
      <c r="N29" s="13">
        <f t="shared" si="1"/>
        <v>291.69180000000006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7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 t="shared" si="0"/>
        <v>2.8145700000000002</v>
      </c>
      <c r="M31" s="4"/>
      <c r="N31" s="13">
        <f t="shared" si="1"/>
        <v>33.774840000000005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/>
      <c r="K32" s="2"/>
      <c r="L32" s="7"/>
      <c r="M32" s="4"/>
      <c r="N32" s="13"/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7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7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7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7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0"/>
        <v>2.7292799999999997</v>
      </c>
      <c r="M37" s="4"/>
      <c r="N37" s="13">
        <f t="shared" si="1"/>
        <v>32.751359999999998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/>
      <c r="K38" s="2"/>
      <c r="L38" s="7"/>
      <c r="M38" s="4"/>
      <c r="N38" s="13"/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7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7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6.6000000000000003E-2</v>
      </c>
      <c r="K41" s="2"/>
      <c r="L41" s="10">
        <f t="shared" si="0"/>
        <v>18.763800000000003</v>
      </c>
      <c r="M41" s="4"/>
      <c r="N41" s="13">
        <f t="shared" si="1"/>
        <v>225.16560000000004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7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0"/>
        <v>31.273000000000007</v>
      </c>
      <c r="M43" s="7"/>
      <c r="N43" s="13">
        <f t="shared" si="1"/>
        <v>375.27600000000007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0"/>
        <v>11.0877</v>
      </c>
      <c r="M44" s="4"/>
      <c r="N44" s="13">
        <f t="shared" si="1"/>
        <v>133.05240000000001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0"/>
        <v>4.2645</v>
      </c>
      <c r="M45" s="4"/>
      <c r="N45" s="13">
        <f t="shared" si="1"/>
        <v>51.173999999999999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0"/>
        <v>4.2645</v>
      </c>
      <c r="M46" s="4"/>
      <c r="N46" s="13">
        <f t="shared" si="1"/>
        <v>51.173999999999999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0"/>
        <v>11.656300000000002</v>
      </c>
      <c r="M47" s="4"/>
      <c r="N47" s="13">
        <f t="shared" si="1"/>
        <v>139.87560000000002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7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0"/>
        <v>2.843</v>
      </c>
      <c r="M49" s="7"/>
      <c r="N49" s="13">
        <f t="shared" si="1"/>
        <v>34.116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0.27</v>
      </c>
      <c r="K50" s="6"/>
      <c r="L50" s="7">
        <f t="shared" si="0"/>
        <v>76.76100000000001</v>
      </c>
      <c r="M50" s="7"/>
      <c r="N50" s="13">
        <f t="shared" si="1"/>
        <v>921.13200000000006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0"/>
        <v>19.901000000000003</v>
      </c>
      <c r="M51" s="2"/>
      <c r="N51" s="13">
        <f t="shared" si="1"/>
        <v>238.81200000000004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32" workbookViewId="0">
      <selection activeCell="J39" sqref="J39"/>
    </sheetView>
  </sheetViews>
  <sheetFormatPr defaultRowHeight="15" x14ac:dyDescent="0.25"/>
  <cols>
    <col min="1" max="3" width="9.140625" style="1"/>
    <col min="4" max="4" width="28" style="1" customWidth="1"/>
    <col min="5" max="5" width="7.5703125" style="1" customWidth="1"/>
    <col min="6" max="6" width="4.42578125" style="1" customWidth="1"/>
    <col min="7" max="8" width="9.140625" style="1"/>
    <col min="9" max="9" width="4.28515625" style="1" customWidth="1"/>
    <col min="10" max="10" width="9.140625" style="1"/>
    <col min="11" max="11" width="4" style="1" customWidth="1"/>
    <col min="12" max="12" width="9.140625" style="1"/>
    <col min="13" max="13" width="3.57031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89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229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16</v>
      </c>
      <c r="B14" s="2" t="s">
        <v>83</v>
      </c>
      <c r="C14" s="2"/>
      <c r="D14" s="2"/>
      <c r="E14" s="2"/>
      <c r="F14" s="2"/>
      <c r="G14" s="2" t="s">
        <v>188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>
        <f>N23+N29+N43+N49</f>
        <v>678.78054000000009</v>
      </c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J25+J26+J27+J24</f>
        <v>0.108</v>
      </c>
      <c r="K23" s="6"/>
      <c r="L23" s="7">
        <f>L24+L25+L26+L27</f>
        <v>19.060919999999999</v>
      </c>
      <c r="M23" s="6"/>
      <c r="N23" s="13">
        <f>L23*12</f>
        <v>228.73104000000001</v>
      </c>
    </row>
    <row r="24" spans="1:14" ht="15.75" x14ac:dyDescent="0.25">
      <c r="A24" s="2" t="s">
        <v>32</v>
      </c>
      <c r="B24" s="2" t="s">
        <v>190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3.3000000000000002E-2</v>
      </c>
      <c r="K24" s="2"/>
      <c r="L24" s="10">
        <f>J24*176.49</f>
        <v>5.8241700000000005</v>
      </c>
      <c r="M24" s="4"/>
      <c r="N24" s="13">
        <f t="shared" ref="N24:N51" si="0">L24*12</f>
        <v>69.890039999999999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4.2999999999999997E-2</v>
      </c>
      <c r="K25" s="2"/>
      <c r="L25" s="10">
        <f>J25*176.49</f>
        <v>7.5890699999999995</v>
      </c>
      <c r="M25" s="4"/>
      <c r="N25" s="13">
        <f t="shared" si="0"/>
        <v>91.068839999999994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1.2E-2</v>
      </c>
      <c r="K26" s="2"/>
      <c r="L26" s="10">
        <f>J26*176.49</f>
        <v>2.11788</v>
      </c>
      <c r="M26" s="4"/>
      <c r="N26" s="13">
        <f t="shared" si="0"/>
        <v>25.414560000000002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0.02</v>
      </c>
      <c r="K27" s="2"/>
      <c r="L27" s="10">
        <f>J27*176.49</f>
        <v>3.5298000000000003</v>
      </c>
      <c r="M27" s="4"/>
      <c r="N27" s="13">
        <f t="shared" si="0"/>
        <v>42.357600000000005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J31+J37+J38+J41</f>
        <v>9.2499999999999999E-2</v>
      </c>
      <c r="K29" s="6"/>
      <c r="L29" s="7">
        <f>J29*176.49</f>
        <v>16.325324999999999</v>
      </c>
      <c r="M29" s="7"/>
      <c r="N29" s="13">
        <f t="shared" si="0"/>
        <v>195.90389999999999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9.4999999999999998E-3</v>
      </c>
      <c r="K31" s="2"/>
      <c r="L31" s="10">
        <f t="shared" ref="L31:L51" si="1">J31*176.49</f>
        <v>1.676655</v>
      </c>
      <c r="M31" s="4"/>
      <c r="N31" s="13">
        <f t="shared" si="0"/>
        <v>20.119859999999999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/>
      <c r="K32" s="2"/>
      <c r="L32" s="10"/>
      <c r="M32" s="4"/>
      <c r="N32" s="13"/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8.9999999999999993E-3</v>
      </c>
      <c r="K37" s="2"/>
      <c r="L37" s="10">
        <f t="shared" si="1"/>
        <v>1.5884099999999999</v>
      </c>
      <c r="M37" s="4"/>
      <c r="N37" s="13">
        <f t="shared" si="0"/>
        <v>19.060919999999999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4.0000000000000001E-3</v>
      </c>
      <c r="K38" s="2"/>
      <c r="L38" s="10">
        <f t="shared" si="1"/>
        <v>0.70596000000000003</v>
      </c>
      <c r="M38" s="4"/>
      <c r="N38" s="13">
        <f t="shared" si="0"/>
        <v>8.4715199999999999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7.0000000000000007E-2</v>
      </c>
      <c r="K41" s="2"/>
      <c r="L41" s="10">
        <f t="shared" si="1"/>
        <v>12.354300000000002</v>
      </c>
      <c r="M41" s="4"/>
      <c r="N41" s="13">
        <f t="shared" si="0"/>
        <v>148.25160000000002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19.413900000000005</v>
      </c>
      <c r="M43" s="7"/>
      <c r="N43" s="13">
        <f t="shared" si="0"/>
        <v>232.96680000000006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6.8831100000000003</v>
      </c>
      <c r="M44" s="4"/>
      <c r="N44" s="13">
        <f t="shared" si="0"/>
        <v>82.597319999999996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2.6473499999999999</v>
      </c>
      <c r="M45" s="4"/>
      <c r="N45" s="13">
        <f t="shared" si="0"/>
        <v>31.7682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2.6473499999999999</v>
      </c>
      <c r="M46" s="4"/>
      <c r="N46" s="13">
        <f t="shared" si="0"/>
        <v>31.7682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7.2360900000000008</v>
      </c>
      <c r="M47" s="4"/>
      <c r="N47" s="13">
        <f t="shared" si="0"/>
        <v>86.83308000000001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1.7649000000000001</v>
      </c>
      <c r="M49" s="7"/>
      <c r="N49" s="13">
        <f t="shared" si="0"/>
        <v>21.178800000000003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0.32</v>
      </c>
      <c r="K50" s="6"/>
      <c r="L50" s="7">
        <f t="shared" si="1"/>
        <v>56.476800000000004</v>
      </c>
      <c r="M50" s="7"/>
      <c r="N50" s="13">
        <f t="shared" si="0"/>
        <v>677.72160000000008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12.354300000000002</v>
      </c>
      <c r="M51" s="2"/>
      <c r="N51" s="13">
        <f t="shared" si="0"/>
        <v>148.25160000000002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6" workbookViewId="0">
      <selection activeCell="J42" sqref="J42"/>
    </sheetView>
  </sheetViews>
  <sheetFormatPr defaultRowHeight="15" x14ac:dyDescent="0.25"/>
  <cols>
    <col min="1" max="3" width="9.140625" style="1"/>
    <col min="4" max="4" width="26.5703125" style="1" customWidth="1"/>
    <col min="5" max="5" width="5.7109375" style="1" customWidth="1"/>
    <col min="6" max="6" width="4" style="1" customWidth="1"/>
    <col min="7" max="8" width="9.140625" style="1"/>
    <col min="9" max="9" width="4.42578125" style="1" customWidth="1"/>
    <col min="10" max="10" width="9.140625" style="1"/>
    <col min="11" max="11" width="3.85546875" style="1" customWidth="1"/>
    <col min="12" max="12" width="9.140625" style="1"/>
    <col min="13" max="13" width="4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90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230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180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>
        <f>N23+N29+N43+N49</f>
        <v>730.8878400000001</v>
      </c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J25+J26+J27+J24</f>
        <v>8.3000000000000004E-2</v>
      </c>
      <c r="K23" s="6"/>
      <c r="L23" s="7">
        <f>L24+L25+L26+L27</f>
        <v>15.305200000000001</v>
      </c>
      <c r="M23" s="6"/>
      <c r="N23" s="13">
        <f>L23*12</f>
        <v>183.66240000000002</v>
      </c>
    </row>
    <row r="24" spans="1:14" ht="15.75" x14ac:dyDescent="0.25">
      <c r="A24" s="2" t="s">
        <v>32</v>
      </c>
      <c r="B24" s="2" t="s">
        <v>175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1.4E-2</v>
      </c>
      <c r="K24" s="2"/>
      <c r="L24" s="10">
        <f>J24*184.4</f>
        <v>2.5816000000000003</v>
      </c>
      <c r="M24" s="4"/>
      <c r="N24" s="13">
        <f t="shared" ref="N24:N51" si="0">L24*12</f>
        <v>30.979200000000006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3.9E-2</v>
      </c>
      <c r="K25" s="2"/>
      <c r="L25" s="10">
        <f>J25*184.4</f>
        <v>7.1916000000000002</v>
      </c>
      <c r="M25" s="4"/>
      <c r="N25" s="13">
        <f t="shared" si="0"/>
        <v>86.299199999999999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1.0999999999999999E-2</v>
      </c>
      <c r="K26" s="2"/>
      <c r="L26" s="10">
        <f>J26*184.4</f>
        <v>2.0284</v>
      </c>
      <c r="M26" s="4"/>
      <c r="N26" s="13">
        <f t="shared" si="0"/>
        <v>24.340800000000002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1.9E-2</v>
      </c>
      <c r="K27" s="2"/>
      <c r="L27" s="10">
        <f>J27*184.4</f>
        <v>3.5036</v>
      </c>
      <c r="M27" s="4"/>
      <c r="N27" s="13">
        <f t="shared" si="0"/>
        <v>42.043199999999999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</f>
        <v>0.1273</v>
      </c>
      <c r="K29" s="6"/>
      <c r="L29" s="7">
        <f>J29*184.4</f>
        <v>23.474119999999999</v>
      </c>
      <c r="M29" s="7"/>
      <c r="N29" s="13">
        <f t="shared" si="0"/>
        <v>281.68943999999999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9.7000000000000003E-3</v>
      </c>
      <c r="K31" s="2"/>
      <c r="L31" s="10">
        <f t="shared" ref="L31:L51" si="1">J31*184.4</f>
        <v>1.78868</v>
      </c>
      <c r="M31" s="4"/>
      <c r="N31" s="13">
        <f t="shared" si="0"/>
        <v>21.46416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6.0000000000000001E-3</v>
      </c>
      <c r="K32" s="2"/>
      <c r="L32" s="10">
        <f t="shared" si="1"/>
        <v>1.1064000000000001</v>
      </c>
      <c r="M32" s="4"/>
      <c r="N32" s="13">
        <f t="shared" si="0"/>
        <v>13.276800000000001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1"/>
        <v>1.7702399999999998</v>
      </c>
      <c r="M37" s="4"/>
      <c r="N37" s="13">
        <f t="shared" si="0"/>
        <v>21.24288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2.1999999999999999E-2</v>
      </c>
      <c r="K38" s="2"/>
      <c r="L38" s="10">
        <f t="shared" si="1"/>
        <v>4.0568</v>
      </c>
      <c r="M38" s="4"/>
      <c r="N38" s="13">
        <f t="shared" si="0"/>
        <v>48.681600000000003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0.08</v>
      </c>
      <c r="K41" s="2"/>
      <c r="L41" s="10">
        <f t="shared" si="1"/>
        <v>14.752000000000001</v>
      </c>
      <c r="M41" s="4"/>
      <c r="N41" s="13">
        <f t="shared" si="0"/>
        <v>177.024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20.284000000000002</v>
      </c>
      <c r="M43" s="7"/>
      <c r="N43" s="13">
        <f t="shared" si="0"/>
        <v>243.40800000000002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7.1916000000000002</v>
      </c>
      <c r="M44" s="4"/>
      <c r="N44" s="13">
        <f t="shared" si="0"/>
        <v>86.299199999999999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2.766</v>
      </c>
      <c r="M45" s="4"/>
      <c r="N45" s="13">
        <f t="shared" si="0"/>
        <v>33.192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2.766</v>
      </c>
      <c r="M46" s="4"/>
      <c r="N46" s="13">
        <f t="shared" si="0"/>
        <v>33.192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7.5604000000000005</v>
      </c>
      <c r="M47" s="4"/>
      <c r="N47" s="13">
        <f t="shared" si="0"/>
        <v>90.724800000000002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1.8440000000000001</v>
      </c>
      <c r="M49" s="7"/>
      <c r="N49" s="13">
        <f t="shared" si="0"/>
        <v>22.128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0.33</v>
      </c>
      <c r="K50" s="6"/>
      <c r="L50" s="7">
        <f t="shared" si="1"/>
        <v>60.852000000000004</v>
      </c>
      <c r="M50" s="7"/>
      <c r="N50" s="13">
        <f t="shared" si="0"/>
        <v>730.22400000000005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12.908000000000001</v>
      </c>
      <c r="M51" s="2"/>
      <c r="N51" s="13">
        <f t="shared" si="0"/>
        <v>154.89600000000002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2" workbookViewId="0">
      <selection activeCell="J25" sqref="J25"/>
    </sheetView>
  </sheetViews>
  <sheetFormatPr defaultRowHeight="15" x14ac:dyDescent="0.25"/>
  <cols>
    <col min="1" max="3" width="9.140625" style="1"/>
    <col min="4" max="4" width="27.7109375" style="1" customWidth="1"/>
    <col min="5" max="5" width="6.140625" style="1" customWidth="1"/>
    <col min="6" max="6" width="3.42578125" style="1" customWidth="1"/>
    <col min="7" max="8" width="9.140625" style="1"/>
    <col min="9" max="9" width="3.42578125" style="1" customWidth="1"/>
    <col min="10" max="10" width="9.140625" style="1"/>
    <col min="11" max="11" width="3.42578125" style="1" customWidth="1"/>
    <col min="12" max="12" width="9.140625" style="1"/>
    <col min="13" max="13" width="3.28515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91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231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 t="s">
        <v>108</v>
      </c>
      <c r="B14" s="2" t="s">
        <v>83</v>
      </c>
      <c r="C14" s="2"/>
      <c r="D14" s="2"/>
      <c r="E14" s="2"/>
      <c r="F14" s="2"/>
      <c r="G14" s="2" t="s">
        <v>188</v>
      </c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>
        <f>N23+N29+N43+N49</f>
        <v>697.27980000000002</v>
      </c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J25+J26+J27+J24</f>
        <v>0.1</v>
      </c>
      <c r="K23" s="6"/>
      <c r="L23" s="7">
        <f>J23*181.3</f>
        <v>18.130000000000003</v>
      </c>
      <c r="M23" s="6"/>
      <c r="N23" s="13">
        <f>L23*12</f>
        <v>217.56000000000003</v>
      </c>
    </row>
    <row r="24" spans="1:14" ht="15.75" x14ac:dyDescent="0.25">
      <c r="A24" s="2" t="s">
        <v>32</v>
      </c>
      <c r="B24" s="2" t="s">
        <v>189</v>
      </c>
      <c r="C24" s="2"/>
      <c r="D24" s="2"/>
      <c r="E24" s="2" t="s">
        <v>34</v>
      </c>
      <c r="F24" s="2"/>
      <c r="G24" s="2" t="s">
        <v>35</v>
      </c>
      <c r="H24" s="2"/>
      <c r="I24" s="2"/>
      <c r="J24" s="2">
        <v>2.8000000000000001E-2</v>
      </c>
      <c r="K24" s="2"/>
      <c r="L24" s="10">
        <f>J24*181.3</f>
        <v>5.0764000000000005</v>
      </c>
      <c r="M24" s="4"/>
      <c r="N24" s="13">
        <f t="shared" ref="N24:N51" si="0">L24*12</f>
        <v>60.916800000000009</v>
      </c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0.04</v>
      </c>
      <c r="K25" s="2"/>
      <c r="L25" s="10">
        <f>J25*181.3</f>
        <v>7.2520000000000007</v>
      </c>
      <c r="M25" s="4"/>
      <c r="N25" s="13">
        <f t="shared" si="0"/>
        <v>87.024000000000001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1.2E-2</v>
      </c>
      <c r="K26" s="2"/>
      <c r="L26" s="10">
        <f>J26*181.3</f>
        <v>2.1756000000000002</v>
      </c>
      <c r="M26" s="4"/>
      <c r="N26" s="13">
        <f t="shared" si="0"/>
        <v>26.107200000000002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0.02</v>
      </c>
      <c r="K27" s="2"/>
      <c r="L27" s="10">
        <f>J27*181.3</f>
        <v>3.6260000000000003</v>
      </c>
      <c r="M27" s="4"/>
      <c r="N27" s="13">
        <f t="shared" si="0"/>
        <v>43.512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J31+J37+J38+J41</f>
        <v>0.10050000000000001</v>
      </c>
      <c r="K29" s="6"/>
      <c r="L29" s="7">
        <f>J29*181.3</f>
        <v>18.220650000000003</v>
      </c>
      <c r="M29" s="7"/>
      <c r="N29" s="13">
        <f t="shared" si="0"/>
        <v>218.64780000000002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9.9000000000000008E-3</v>
      </c>
      <c r="K31" s="2"/>
      <c r="L31" s="10">
        <f t="shared" ref="L31:L51" si="1">J31*181.3</f>
        <v>1.7948700000000002</v>
      </c>
      <c r="M31" s="4"/>
      <c r="N31" s="13">
        <f t="shared" si="0"/>
        <v>21.538440000000001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/>
      <c r="K32" s="2"/>
      <c r="L32" s="10"/>
      <c r="M32" s="4"/>
      <c r="N32" s="13"/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9.5999999999999992E-3</v>
      </c>
      <c r="K37" s="2"/>
      <c r="L37" s="10">
        <f t="shared" si="1"/>
        <v>1.74048</v>
      </c>
      <c r="M37" s="4"/>
      <c r="N37" s="13">
        <f t="shared" si="0"/>
        <v>20.885760000000001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1.9E-2</v>
      </c>
      <c r="K38" s="2"/>
      <c r="L38" s="10">
        <f t="shared" si="1"/>
        <v>3.4447000000000001</v>
      </c>
      <c r="M38" s="4"/>
      <c r="N38" s="13">
        <f t="shared" si="0"/>
        <v>41.336399999999998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6.2E-2</v>
      </c>
      <c r="K41" s="2"/>
      <c r="L41" s="10">
        <f t="shared" si="1"/>
        <v>11.240600000000001</v>
      </c>
      <c r="M41" s="4"/>
      <c r="N41" s="13">
        <f t="shared" si="0"/>
        <v>134.88720000000001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1"/>
        <v>19.943000000000005</v>
      </c>
      <c r="M43" s="7"/>
      <c r="N43" s="13">
        <f t="shared" si="0"/>
        <v>239.31600000000006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1"/>
        <v>7.0707000000000004</v>
      </c>
      <c r="M44" s="4"/>
      <c r="N44" s="13">
        <f t="shared" si="0"/>
        <v>84.848399999999998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1"/>
        <v>2.7195</v>
      </c>
      <c r="M45" s="4"/>
      <c r="N45" s="13">
        <f t="shared" si="0"/>
        <v>32.634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1"/>
        <v>2.7195</v>
      </c>
      <c r="M46" s="4"/>
      <c r="N46" s="13">
        <f t="shared" si="0"/>
        <v>32.634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1"/>
        <v>7.4333000000000009</v>
      </c>
      <c r="M47" s="4"/>
      <c r="N47" s="13">
        <f t="shared" si="0"/>
        <v>89.199600000000004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1"/>
        <v>1.8130000000000002</v>
      </c>
      <c r="M49" s="7"/>
      <c r="N49" s="13">
        <f t="shared" si="0"/>
        <v>21.756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0.32</v>
      </c>
      <c r="K50" s="6"/>
      <c r="L50" s="7">
        <f t="shared" si="1"/>
        <v>58.016000000000005</v>
      </c>
      <c r="M50" s="7"/>
      <c r="N50" s="13">
        <f t="shared" si="0"/>
        <v>696.19200000000001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1"/>
        <v>12.691000000000003</v>
      </c>
      <c r="M51" s="2"/>
      <c r="N51" s="13">
        <f t="shared" si="0"/>
        <v>152.29200000000003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1" workbookViewId="0">
      <selection activeCell="J25" sqref="J25"/>
    </sheetView>
  </sheetViews>
  <sheetFormatPr defaultRowHeight="15" x14ac:dyDescent="0.25"/>
  <cols>
    <col min="1" max="3" width="9.140625" style="1"/>
    <col min="4" max="4" width="26.28515625" style="1" customWidth="1"/>
    <col min="5" max="5" width="5.140625" style="1" customWidth="1"/>
    <col min="6" max="6" width="3.28515625" style="1" customWidth="1"/>
    <col min="7" max="8" width="9.140625" style="1"/>
    <col min="9" max="9" width="3.42578125" style="1" customWidth="1"/>
    <col min="10" max="10" width="9.140625" style="1"/>
    <col min="11" max="11" width="3.140625" style="1" customWidth="1"/>
    <col min="12" max="12" width="9.140625" style="1"/>
    <col min="13" max="13" width="3.140625" style="1" customWidth="1"/>
    <col min="14" max="14" width="11.28515625" style="1" customWidth="1"/>
    <col min="15" max="16384" width="9.140625" style="1"/>
  </cols>
  <sheetData>
    <row r="1" spans="1:14" x14ac:dyDescent="0.25">
      <c r="A1" s="3" t="s">
        <v>0</v>
      </c>
    </row>
    <row r="2" spans="1:14" x14ac:dyDescent="0.25">
      <c r="A2" s="3" t="s">
        <v>206</v>
      </c>
    </row>
    <row r="5" spans="1:14" ht="18.75" x14ac:dyDescent="0.3">
      <c r="A5" s="1" t="s">
        <v>1</v>
      </c>
      <c r="D5" s="8" t="s">
        <v>92</v>
      </c>
    </row>
    <row r="6" spans="1:14" x14ac:dyDescent="0.25">
      <c r="A6" s="1" t="s">
        <v>3</v>
      </c>
      <c r="D6" s="1" t="s">
        <v>4</v>
      </c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5" t="s">
        <v>5</v>
      </c>
      <c r="B8" s="5"/>
      <c r="C8" s="5"/>
      <c r="D8" s="5"/>
      <c r="E8" s="5"/>
      <c r="F8" s="5"/>
      <c r="G8" s="5" t="s">
        <v>232</v>
      </c>
      <c r="H8" s="5"/>
      <c r="I8" s="5"/>
      <c r="J8" s="5"/>
      <c r="K8" s="5"/>
      <c r="L8" s="5"/>
      <c r="M8" s="5"/>
      <c r="N8" s="5"/>
    </row>
    <row r="9" spans="1:14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 t="s">
        <v>7</v>
      </c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 t="s">
        <v>10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 t="s">
        <v>13</v>
      </c>
      <c r="B12" s="2" t="s">
        <v>14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 t="s">
        <v>16</v>
      </c>
      <c r="B13" s="2" t="s">
        <v>17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 t="s">
        <v>19</v>
      </c>
      <c r="B15" s="2"/>
      <c r="C15" s="2"/>
      <c r="D15" s="2"/>
      <c r="E15" s="2" t="s">
        <v>20</v>
      </c>
      <c r="F15" s="2"/>
      <c r="G15" s="2" t="s">
        <v>21</v>
      </c>
      <c r="H15" s="2"/>
      <c r="I15" s="2"/>
      <c r="J15" s="2" t="s">
        <v>22</v>
      </c>
      <c r="K15" s="2"/>
      <c r="L15" s="2" t="s">
        <v>23</v>
      </c>
      <c r="M15" s="2"/>
      <c r="N15" s="2" t="s">
        <v>24</v>
      </c>
    </row>
    <row r="16" spans="1:14" x14ac:dyDescent="0.25">
      <c r="A16" s="2"/>
      <c r="B16" s="2"/>
      <c r="C16" s="2"/>
      <c r="D16" s="2"/>
      <c r="E16" s="2" t="s">
        <v>25</v>
      </c>
      <c r="F16" s="2"/>
      <c r="G16" s="2"/>
      <c r="H16" s="2"/>
      <c r="I16" s="2"/>
      <c r="J16" s="2" t="s">
        <v>26</v>
      </c>
      <c r="K16" s="2"/>
      <c r="L16" s="2" t="s">
        <v>26</v>
      </c>
      <c r="M16" s="2"/>
      <c r="N16" s="2" t="s">
        <v>26</v>
      </c>
    </row>
    <row r="17" spans="1:14" x14ac:dyDescent="0.25">
      <c r="A17" s="2"/>
      <c r="B17" s="2"/>
      <c r="C17" s="2"/>
      <c r="D17" s="2"/>
      <c r="E17" s="2" t="s">
        <v>27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x14ac:dyDescent="0.25">
      <c r="A19" s="6" t="s">
        <v>28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6"/>
      <c r="N19" s="7"/>
    </row>
    <row r="20" spans="1:14" ht="15.7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7"/>
      <c r="M20" s="2"/>
      <c r="N20" s="2"/>
    </row>
    <row r="21" spans="1:14" ht="15.75" x14ac:dyDescent="0.25">
      <c r="A21" s="5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7"/>
      <c r="M21" s="2"/>
      <c r="N21" s="2"/>
    </row>
    <row r="22" spans="1:14" ht="15.75" x14ac:dyDescent="0.25">
      <c r="A22" s="6" t="s">
        <v>30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6"/>
      <c r="N22" s="6"/>
    </row>
    <row r="23" spans="1:14" ht="15.75" x14ac:dyDescent="0.25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>
        <f>J25+J26+J27</f>
        <v>7.1000000000000008E-2</v>
      </c>
      <c r="K23" s="6"/>
      <c r="L23" s="7">
        <f>J23*175.7</f>
        <v>12.4747</v>
      </c>
      <c r="M23" s="6"/>
      <c r="N23" s="13">
        <f>L23*12</f>
        <v>149.69640000000001</v>
      </c>
    </row>
    <row r="24" spans="1:14" ht="15.75" x14ac:dyDescent="0.25">
      <c r="A24" s="2" t="s">
        <v>32</v>
      </c>
      <c r="B24" s="2" t="s">
        <v>33</v>
      </c>
      <c r="C24" s="2"/>
      <c r="D24" s="2"/>
      <c r="E24" s="2" t="s">
        <v>86</v>
      </c>
      <c r="F24" s="2"/>
      <c r="G24" s="2" t="s">
        <v>35</v>
      </c>
      <c r="H24" s="2"/>
      <c r="I24" s="2"/>
      <c r="J24" s="2"/>
      <c r="K24" s="2"/>
      <c r="L24" s="7"/>
      <c r="M24" s="4"/>
      <c r="N24" s="13"/>
    </row>
    <row r="25" spans="1:14" ht="15.75" x14ac:dyDescent="0.25">
      <c r="A25" s="2" t="s">
        <v>36</v>
      </c>
      <c r="B25" s="2" t="s">
        <v>37</v>
      </c>
      <c r="C25" s="2"/>
      <c r="D25" s="2"/>
      <c r="E25" s="2" t="s">
        <v>34</v>
      </c>
      <c r="F25" s="2"/>
      <c r="G25" s="2" t="s">
        <v>38</v>
      </c>
      <c r="H25" s="2"/>
      <c r="I25" s="2"/>
      <c r="J25" s="2">
        <v>0.04</v>
      </c>
      <c r="K25" s="2"/>
      <c r="L25" s="10">
        <f t="shared" ref="L25:L26" si="0">J25*175.7</f>
        <v>7.0279999999999996</v>
      </c>
      <c r="M25" s="4"/>
      <c r="N25" s="13">
        <f t="shared" ref="N25:N51" si="1">L25*12</f>
        <v>84.335999999999999</v>
      </c>
    </row>
    <row r="26" spans="1:14" ht="15.75" x14ac:dyDescent="0.25">
      <c r="A26" s="2" t="s">
        <v>39</v>
      </c>
      <c r="B26" s="2" t="s">
        <v>40</v>
      </c>
      <c r="C26" s="2"/>
      <c r="D26" s="2"/>
      <c r="E26" s="2" t="s">
        <v>34</v>
      </c>
      <c r="F26" s="2"/>
      <c r="G26" s="2" t="s">
        <v>41</v>
      </c>
      <c r="H26" s="2"/>
      <c r="I26" s="2"/>
      <c r="J26" s="2">
        <v>1.0999999999999999E-2</v>
      </c>
      <c r="K26" s="2"/>
      <c r="L26" s="10">
        <f t="shared" si="0"/>
        <v>1.9326999999999999</v>
      </c>
      <c r="M26" s="4"/>
      <c r="N26" s="13">
        <f t="shared" si="1"/>
        <v>23.192399999999999</v>
      </c>
    </row>
    <row r="27" spans="1:14" ht="15.75" x14ac:dyDescent="0.25">
      <c r="A27" s="2" t="s">
        <v>42</v>
      </c>
      <c r="B27" s="2" t="s">
        <v>43</v>
      </c>
      <c r="C27" s="2"/>
      <c r="D27" s="2"/>
      <c r="E27" s="2" t="s">
        <v>34</v>
      </c>
      <c r="F27" s="2"/>
      <c r="G27" s="2" t="s">
        <v>44</v>
      </c>
      <c r="H27" s="2"/>
      <c r="I27" s="2"/>
      <c r="J27" s="2">
        <v>0.02</v>
      </c>
      <c r="K27" s="2"/>
      <c r="L27" s="10">
        <v>3.56</v>
      </c>
      <c r="M27" s="4"/>
      <c r="N27" s="13">
        <f t="shared" si="1"/>
        <v>42.72</v>
      </c>
    </row>
    <row r="28" spans="1:14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0"/>
      <c r="M28" s="4"/>
      <c r="N28" s="13"/>
    </row>
    <row r="29" spans="1:14" ht="15.75" x14ac:dyDescent="0.25">
      <c r="A29" s="6" t="s">
        <v>45</v>
      </c>
      <c r="B29" s="6"/>
      <c r="C29" s="6"/>
      <c r="D29" s="6"/>
      <c r="E29" s="6"/>
      <c r="F29" s="6"/>
      <c r="G29" s="6"/>
      <c r="H29" s="6"/>
      <c r="I29" s="6"/>
      <c r="J29" s="6">
        <f>J31+J32+J37+J38+J41</f>
        <v>0.12909999999999999</v>
      </c>
      <c r="K29" s="6"/>
      <c r="L29" s="7">
        <f>J29*175.7</f>
        <v>22.682869999999998</v>
      </c>
      <c r="M29" s="7"/>
      <c r="N29" s="13">
        <f t="shared" si="1"/>
        <v>272.19443999999999</v>
      </c>
    </row>
    <row r="30" spans="1:14" ht="15.75" x14ac:dyDescent="0.25">
      <c r="A30" s="2" t="s">
        <v>7</v>
      </c>
      <c r="B30" s="2" t="s">
        <v>46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4"/>
      <c r="N30" s="13"/>
    </row>
    <row r="31" spans="1:14" ht="15.75" x14ac:dyDescent="0.25">
      <c r="A31" s="2" t="s">
        <v>47</v>
      </c>
      <c r="B31" s="2" t="s">
        <v>48</v>
      </c>
      <c r="C31" s="2"/>
      <c r="D31" s="2"/>
      <c r="E31" s="2" t="s">
        <v>34</v>
      </c>
      <c r="F31" s="2"/>
      <c r="G31" s="2" t="s">
        <v>49</v>
      </c>
      <c r="H31" s="2"/>
      <c r="I31" s="2"/>
      <c r="J31" s="2">
        <v>9.2999999999999992E-3</v>
      </c>
      <c r="K31" s="2"/>
      <c r="L31" s="10">
        <f t="shared" ref="L31:L51" si="2">J31*175.7</f>
        <v>1.6340099999999997</v>
      </c>
      <c r="M31" s="4"/>
      <c r="N31" s="13">
        <f t="shared" si="1"/>
        <v>19.608119999999996</v>
      </c>
    </row>
    <row r="32" spans="1:14" ht="15.75" x14ac:dyDescent="0.25">
      <c r="A32" s="2" t="s">
        <v>50</v>
      </c>
      <c r="B32" s="2" t="s">
        <v>51</v>
      </c>
      <c r="C32" s="2"/>
      <c r="D32" s="2"/>
      <c r="E32" s="2" t="s">
        <v>34</v>
      </c>
      <c r="F32" s="2"/>
      <c r="G32" s="2" t="s">
        <v>41</v>
      </c>
      <c r="H32" s="2"/>
      <c r="I32" s="2"/>
      <c r="J32" s="2">
        <v>1.2E-2</v>
      </c>
      <c r="K32" s="2"/>
      <c r="L32" s="10">
        <f t="shared" si="2"/>
        <v>2.1084000000000001</v>
      </c>
      <c r="M32" s="4"/>
      <c r="N32" s="13">
        <f t="shared" si="1"/>
        <v>25.300800000000002</v>
      </c>
    </row>
    <row r="33" spans="1:14" ht="15.75" x14ac:dyDescent="0.25">
      <c r="A33" s="2" t="s">
        <v>10</v>
      </c>
      <c r="B33" s="2" t="s">
        <v>52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4"/>
      <c r="N33" s="13"/>
    </row>
    <row r="34" spans="1:14" ht="15.75" x14ac:dyDescent="0.25">
      <c r="A34" s="2" t="s">
        <v>53</v>
      </c>
      <c r="B34" s="2" t="s">
        <v>54</v>
      </c>
      <c r="C34" s="2"/>
      <c r="D34" s="2"/>
      <c r="E34" s="2" t="s">
        <v>86</v>
      </c>
      <c r="F34" s="2"/>
      <c r="G34" s="2" t="s">
        <v>49</v>
      </c>
      <c r="H34" s="2"/>
      <c r="I34" s="2"/>
      <c r="J34" s="2"/>
      <c r="K34" s="2"/>
      <c r="L34" s="10"/>
      <c r="M34" s="4"/>
      <c r="N34" s="13"/>
    </row>
    <row r="35" spans="1:14" ht="15.75" x14ac:dyDescent="0.25">
      <c r="A35" s="2" t="s">
        <v>55</v>
      </c>
      <c r="B35" s="2" t="s">
        <v>56</v>
      </c>
      <c r="C35" s="2"/>
      <c r="D35" s="2"/>
      <c r="E35" s="2" t="s">
        <v>86</v>
      </c>
      <c r="F35" s="2"/>
      <c r="G35" s="2" t="s">
        <v>41</v>
      </c>
      <c r="H35" s="2"/>
      <c r="I35" s="2"/>
      <c r="J35" s="2"/>
      <c r="K35" s="2"/>
      <c r="L35" s="10"/>
      <c r="M35" s="4"/>
      <c r="N35" s="13"/>
    </row>
    <row r="36" spans="1:14" ht="15.75" x14ac:dyDescent="0.25">
      <c r="A36" s="2" t="s">
        <v>13</v>
      </c>
      <c r="B36" s="2" t="s">
        <v>57</v>
      </c>
      <c r="C36" s="2"/>
      <c r="D36" s="2"/>
      <c r="E36" s="2"/>
      <c r="F36" s="2"/>
      <c r="G36" s="2"/>
      <c r="H36" s="2"/>
      <c r="I36" s="2"/>
      <c r="J36" s="2"/>
      <c r="K36" s="2"/>
      <c r="L36" s="10"/>
      <c r="M36" s="4"/>
      <c r="N36" s="13"/>
    </row>
    <row r="37" spans="1:14" ht="15.75" x14ac:dyDescent="0.25">
      <c r="A37" s="2" t="s">
        <v>58</v>
      </c>
      <c r="B37" s="2" t="s">
        <v>59</v>
      </c>
      <c r="C37" s="2"/>
      <c r="D37" s="2"/>
      <c r="E37" s="2" t="s">
        <v>34</v>
      </c>
      <c r="F37" s="2"/>
      <c r="G37" s="2" t="s">
        <v>49</v>
      </c>
      <c r="H37" s="2"/>
      <c r="I37" s="2"/>
      <c r="J37" s="2">
        <v>7.7999999999999996E-3</v>
      </c>
      <c r="K37" s="2"/>
      <c r="L37" s="10">
        <f t="shared" si="2"/>
        <v>1.3704599999999998</v>
      </c>
      <c r="M37" s="4"/>
      <c r="N37" s="13">
        <f t="shared" si="1"/>
        <v>16.445519999999998</v>
      </c>
    </row>
    <row r="38" spans="1:14" ht="15.75" x14ac:dyDescent="0.25">
      <c r="A38" s="2" t="s">
        <v>60</v>
      </c>
      <c r="B38" s="2" t="s">
        <v>61</v>
      </c>
      <c r="C38" s="2"/>
      <c r="D38" s="2"/>
      <c r="E38" s="2" t="s">
        <v>34</v>
      </c>
      <c r="F38" s="2"/>
      <c r="G38" s="2" t="s">
        <v>41</v>
      </c>
      <c r="H38" s="2"/>
      <c r="I38" s="2"/>
      <c r="J38" s="2">
        <v>2E-3</v>
      </c>
      <c r="K38" s="2"/>
      <c r="L38" s="10">
        <f t="shared" si="2"/>
        <v>0.35139999999999999</v>
      </c>
      <c r="M38" s="4"/>
      <c r="N38" s="13">
        <f t="shared" si="1"/>
        <v>4.2168000000000001</v>
      </c>
    </row>
    <row r="39" spans="1:14" ht="15.75" x14ac:dyDescent="0.25">
      <c r="A39" s="2" t="s">
        <v>16</v>
      </c>
      <c r="B39" s="2" t="s">
        <v>62</v>
      </c>
      <c r="C39" s="2"/>
      <c r="D39" s="2"/>
      <c r="E39" s="2"/>
      <c r="F39" s="2"/>
      <c r="G39" s="2"/>
      <c r="H39" s="2"/>
      <c r="I39" s="2"/>
      <c r="J39" s="2"/>
      <c r="K39" s="2"/>
      <c r="L39" s="10"/>
      <c r="M39" s="4"/>
      <c r="N39" s="13"/>
    </row>
    <row r="40" spans="1:14" ht="15.75" x14ac:dyDescent="0.25">
      <c r="A40" s="2" t="s">
        <v>63</v>
      </c>
      <c r="B40" s="2" t="s">
        <v>64</v>
      </c>
      <c r="C40" s="2"/>
      <c r="D40" s="2"/>
      <c r="E40" s="2" t="s">
        <v>34</v>
      </c>
      <c r="F40" s="2"/>
      <c r="G40" s="2" t="s">
        <v>49</v>
      </c>
      <c r="H40" s="2"/>
      <c r="I40" s="2"/>
      <c r="J40" s="2"/>
      <c r="K40" s="2"/>
      <c r="L40" s="10"/>
      <c r="M40" s="4"/>
      <c r="N40" s="13"/>
    </row>
    <row r="41" spans="1:14" ht="15.75" x14ac:dyDescent="0.25">
      <c r="A41" s="2" t="s">
        <v>65</v>
      </c>
      <c r="B41" s="2" t="s">
        <v>66</v>
      </c>
      <c r="C41" s="2"/>
      <c r="D41" s="2"/>
      <c r="E41" s="2" t="s">
        <v>34</v>
      </c>
      <c r="F41" s="2"/>
      <c r="G41" s="2" t="s">
        <v>41</v>
      </c>
      <c r="H41" s="2"/>
      <c r="I41" s="2"/>
      <c r="J41" s="2">
        <v>9.8000000000000004E-2</v>
      </c>
      <c r="K41" s="2"/>
      <c r="L41" s="10">
        <f t="shared" si="2"/>
        <v>17.218599999999999</v>
      </c>
      <c r="M41" s="4"/>
      <c r="N41" s="13">
        <f t="shared" si="1"/>
        <v>206.6232</v>
      </c>
    </row>
    <row r="42" spans="1:14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0"/>
      <c r="M42" s="4"/>
      <c r="N42" s="13"/>
    </row>
    <row r="43" spans="1:14" ht="15.75" x14ac:dyDescent="0.25">
      <c r="A43" s="6" t="s">
        <v>67</v>
      </c>
      <c r="B43" s="6"/>
      <c r="C43" s="6"/>
      <c r="D43" s="6"/>
      <c r="E43" s="6"/>
      <c r="F43" s="6"/>
      <c r="G43" s="6"/>
      <c r="H43" s="6"/>
      <c r="I43" s="6"/>
      <c r="J43" s="6">
        <f>J44+J45+J46+J47</f>
        <v>0.11000000000000001</v>
      </c>
      <c r="K43" s="6"/>
      <c r="L43" s="7">
        <f t="shared" si="2"/>
        <v>19.327000000000002</v>
      </c>
      <c r="M43" s="7"/>
      <c r="N43" s="13">
        <f t="shared" si="1"/>
        <v>231.92400000000004</v>
      </c>
    </row>
    <row r="44" spans="1:14" ht="15.75" x14ac:dyDescent="0.25">
      <c r="A44" s="2" t="s">
        <v>68</v>
      </c>
      <c r="B44" s="2" t="s">
        <v>69</v>
      </c>
      <c r="C44" s="2"/>
      <c r="D44" s="2"/>
      <c r="E44" s="2"/>
      <c r="F44" s="2"/>
      <c r="G44" s="2"/>
      <c r="H44" s="2"/>
      <c r="I44" s="2"/>
      <c r="J44" s="2">
        <v>3.9E-2</v>
      </c>
      <c r="K44" s="2"/>
      <c r="L44" s="10">
        <f t="shared" si="2"/>
        <v>6.8522999999999996</v>
      </c>
      <c r="M44" s="4"/>
      <c r="N44" s="13">
        <f t="shared" si="1"/>
        <v>82.227599999999995</v>
      </c>
    </row>
    <row r="45" spans="1:14" ht="15.75" x14ac:dyDescent="0.25">
      <c r="A45" s="2" t="s">
        <v>70</v>
      </c>
      <c r="B45" s="2" t="s">
        <v>71</v>
      </c>
      <c r="C45" s="2"/>
      <c r="D45" s="2"/>
      <c r="E45" s="2"/>
      <c r="F45" s="2"/>
      <c r="G45" s="2"/>
      <c r="H45" s="2"/>
      <c r="I45" s="2"/>
      <c r="J45" s="2">
        <v>1.4999999999999999E-2</v>
      </c>
      <c r="K45" s="2"/>
      <c r="L45" s="10">
        <f t="shared" si="2"/>
        <v>2.6355</v>
      </c>
      <c r="M45" s="4"/>
      <c r="N45" s="13">
        <f t="shared" si="1"/>
        <v>31.625999999999998</v>
      </c>
    </row>
    <row r="46" spans="1:14" ht="15.75" x14ac:dyDescent="0.25">
      <c r="A46" s="2" t="s">
        <v>72</v>
      </c>
      <c r="B46" s="2" t="s">
        <v>73</v>
      </c>
      <c r="C46" s="2"/>
      <c r="D46" s="2"/>
      <c r="E46" s="2"/>
      <c r="F46" s="2"/>
      <c r="G46" s="2"/>
      <c r="H46" s="2"/>
      <c r="I46" s="2"/>
      <c r="J46" s="2">
        <v>1.4999999999999999E-2</v>
      </c>
      <c r="K46" s="2"/>
      <c r="L46" s="10">
        <f t="shared" si="2"/>
        <v>2.6355</v>
      </c>
      <c r="M46" s="4"/>
      <c r="N46" s="13">
        <f t="shared" si="1"/>
        <v>31.625999999999998</v>
      </c>
    </row>
    <row r="47" spans="1:14" ht="15.75" x14ac:dyDescent="0.25">
      <c r="A47" s="2" t="s">
        <v>74</v>
      </c>
      <c r="B47" s="2" t="s">
        <v>75</v>
      </c>
      <c r="C47" s="2"/>
      <c r="D47" s="2"/>
      <c r="E47" s="2"/>
      <c r="F47" s="2"/>
      <c r="G47" s="2"/>
      <c r="H47" s="2"/>
      <c r="I47" s="2"/>
      <c r="J47" s="2">
        <v>4.1000000000000002E-2</v>
      </c>
      <c r="K47" s="2"/>
      <c r="L47" s="10">
        <f t="shared" si="2"/>
        <v>7.2036999999999995</v>
      </c>
      <c r="M47" s="4"/>
      <c r="N47" s="13">
        <f t="shared" si="1"/>
        <v>86.444400000000002</v>
      </c>
    </row>
    <row r="48" spans="1:14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0"/>
      <c r="M48" s="4"/>
      <c r="N48" s="13"/>
    </row>
    <row r="49" spans="1:14" ht="15.75" x14ac:dyDescent="0.25">
      <c r="A49" s="6" t="s">
        <v>76</v>
      </c>
      <c r="B49" s="6"/>
      <c r="C49" s="6"/>
      <c r="D49" s="6"/>
      <c r="E49" s="6"/>
      <c r="F49" s="6"/>
      <c r="G49" s="6"/>
      <c r="H49" s="6"/>
      <c r="I49" s="6"/>
      <c r="J49" s="9">
        <v>0.01</v>
      </c>
      <c r="K49" s="6"/>
      <c r="L49" s="10">
        <f t="shared" si="2"/>
        <v>1.7569999999999999</v>
      </c>
      <c r="M49" s="7"/>
      <c r="N49" s="13">
        <f t="shared" si="1"/>
        <v>21.084</v>
      </c>
    </row>
    <row r="50" spans="1:14" ht="15.75" x14ac:dyDescent="0.25">
      <c r="A50" s="6"/>
      <c r="B50" s="6"/>
      <c r="C50" s="6"/>
      <c r="D50" s="6"/>
      <c r="E50" s="6"/>
      <c r="F50" s="6"/>
      <c r="G50" s="6" t="s">
        <v>77</v>
      </c>
      <c r="H50" s="6"/>
      <c r="I50" s="6"/>
      <c r="J50" s="6">
        <v>0.32</v>
      </c>
      <c r="K50" s="6"/>
      <c r="L50" s="7">
        <f t="shared" si="2"/>
        <v>56.223999999999997</v>
      </c>
      <c r="M50" s="7"/>
      <c r="N50" s="13">
        <f t="shared" si="1"/>
        <v>674.68799999999999</v>
      </c>
    </row>
    <row r="51" spans="1:14" ht="15.75" x14ac:dyDescent="0.25">
      <c r="A51" s="5" t="s">
        <v>78</v>
      </c>
      <c r="B51" s="2"/>
      <c r="C51" s="2"/>
      <c r="D51" s="2"/>
      <c r="E51" s="2"/>
      <c r="F51" s="2"/>
      <c r="G51" s="2"/>
      <c r="H51" s="2"/>
      <c r="I51" s="2"/>
      <c r="J51" s="5">
        <v>7.0000000000000007E-2</v>
      </c>
      <c r="K51" s="2"/>
      <c r="L51" s="7">
        <f t="shared" si="2"/>
        <v>12.298999999999999</v>
      </c>
      <c r="M51" s="2"/>
      <c r="N51" s="13">
        <f t="shared" si="1"/>
        <v>147.58799999999999</v>
      </c>
    </row>
    <row r="54" spans="1:14" x14ac:dyDescent="0.25">
      <c r="A54" s="1" t="s">
        <v>207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Celtnieku 4</vt:lpstr>
      <vt:lpstr>Celtnieku 4A</vt:lpstr>
      <vt:lpstr>Jūras 2</vt:lpstr>
      <vt:lpstr>Jūras 5</vt:lpstr>
      <vt:lpstr>Jūras 7</vt:lpstr>
      <vt:lpstr>Kosmonautu 2</vt:lpstr>
      <vt:lpstr>Kosmonautu 5</vt:lpstr>
      <vt:lpstr>Kosmonautu 6</vt:lpstr>
      <vt:lpstr>Kosmonautu 7</vt:lpstr>
      <vt:lpstr>Kosmonautu 8</vt:lpstr>
      <vt:lpstr>Kosmonautu 9 </vt:lpstr>
      <vt:lpstr>Kosmonautu 10</vt:lpstr>
      <vt:lpstr>Kosmonautu 11</vt:lpstr>
      <vt:lpstr>Kosmonautu 13</vt:lpstr>
      <vt:lpstr>Kosmonautu 16</vt:lpstr>
      <vt:lpstr>Kosmonautu 20</vt:lpstr>
      <vt:lpstr>Miera 7</vt:lpstr>
      <vt:lpstr>Miera 12</vt:lpstr>
      <vt:lpstr>Plūdoņa 8</vt:lpstr>
      <vt:lpstr>Plūdoņa 10</vt:lpstr>
      <vt:lpstr>Selgas 3</vt:lpstr>
      <vt:lpstr>Selgas 8</vt:lpstr>
      <vt:lpstr>Selgas 16</vt:lpstr>
      <vt:lpstr>Selgas 31</vt:lpstr>
      <vt:lpstr>Strauta 3</vt:lpstr>
      <vt:lpstr>Strauta 6</vt:lpstr>
      <vt:lpstr>Strauta 8</vt:lpstr>
      <vt:lpstr>Strauta 17</vt:lpstr>
      <vt:lpstr>Strauta 1517a</vt:lpstr>
      <vt:lpstr>Talsu 12</vt:lpstr>
      <vt:lpstr>Torņa 5</vt:lpstr>
      <vt:lpstr>Zvejnieku 14</vt:lpstr>
      <vt:lpstr>Zvejnieku 16</vt:lpstr>
      <vt:lpstr>Zvejnieku 18</vt:lpstr>
      <vt:lpstr>Fabrikas māja 2</vt:lpstr>
      <vt:lpstr>Lakšas</vt:lpstr>
      <vt:lpstr>Šalkas</vt:lpstr>
      <vt:lpstr>Mežrozes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Dzku_user</dc:creator>
  <cp:lastModifiedBy>Rojas DzKU</cp:lastModifiedBy>
  <cp:lastPrinted>2018-03-29T08:46:45Z</cp:lastPrinted>
  <dcterms:created xsi:type="dcterms:W3CDTF">2016-11-24T07:12:06Z</dcterms:created>
  <dcterms:modified xsi:type="dcterms:W3CDTF">2018-10-15T11:21:22Z</dcterms:modified>
</cp:coreProperties>
</file>