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755" tabRatio="909" activeTab="4"/>
  </bookViews>
  <sheets>
    <sheet name="1" sheetId="184" r:id="rId1"/>
    <sheet name="2" sheetId="185" r:id="rId2"/>
    <sheet name="3" sheetId="186" r:id="rId3"/>
    <sheet name="4" sheetId="187" r:id="rId4"/>
    <sheet name="5" sheetId="188" r:id="rId5"/>
  </sheets>
  <definedNames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>#REF!</definedName>
    <definedName name="beigas" localSheetId="0">#REF!</definedName>
    <definedName name="beigas" localSheetId="1">#REF!</definedName>
    <definedName name="beigas" localSheetId="2">#REF!</definedName>
    <definedName name="beigas" localSheetId="3">#REF!</definedName>
    <definedName name="beigas" localSheetId="4">#REF!</definedName>
    <definedName name="beigas">#REF!</definedName>
    <definedName name="_xlnm.Print_Area" localSheetId="0">'1'!$A$1:$P$290</definedName>
    <definedName name="_xlnm.Print_Area" localSheetId="1">'2'!$A$1:$P$42</definedName>
    <definedName name="_xlnm.Print_Area" localSheetId="2">'3'!$A$1:$P$36</definedName>
    <definedName name="_xlnm.Print_Area" localSheetId="3">'4'!$A$1:$P$131</definedName>
    <definedName name="_xlnm.Print_Area" localSheetId="4">'5'!$A$1:$P$118</definedName>
    <definedName name="velves" localSheetId="1">#REF!</definedName>
    <definedName name="velves" localSheetId="2">#REF!</definedName>
    <definedName name="velves" localSheetId="3">#REF!</definedName>
    <definedName name="velves" localSheetId="4">#REF!</definedName>
    <definedName name="velves">#REF!</definedName>
  </definedNames>
  <calcPr calcId="145621"/>
</workbook>
</file>

<file path=xl/calcChain.xml><?xml version="1.0" encoding="utf-8"?>
<calcChain xmlns="http://schemas.openxmlformats.org/spreadsheetml/2006/main">
  <c r="A16" i="188" l="1"/>
  <c r="A17" i="188" s="1"/>
  <c r="A18" i="188" s="1"/>
  <c r="A19" i="188" s="1"/>
  <c r="A20" i="188" s="1"/>
  <c r="A21" i="188" s="1"/>
  <c r="A22" i="188" s="1"/>
  <c r="A23" i="188" s="1"/>
  <c r="A24" i="188" s="1"/>
  <c r="A25" i="188" s="1"/>
  <c r="A26" i="188" s="1"/>
  <c r="A27" i="188" s="1"/>
  <c r="A28" i="188" s="1"/>
  <c r="A29" i="188" s="1"/>
  <c r="A30" i="188" s="1"/>
  <c r="A31" i="188" s="1"/>
  <c r="A32" i="188" s="1"/>
  <c r="A33" i="188" s="1"/>
  <c r="A34" i="188" s="1"/>
  <c r="A35" i="188" s="1"/>
  <c r="A36" i="188" s="1"/>
  <c r="A37" i="188" s="1"/>
  <c r="A38" i="188" s="1"/>
  <c r="A39" i="188" s="1"/>
  <c r="A40" i="188" s="1"/>
  <c r="A41" i="188" s="1"/>
  <c r="A42" i="188" s="1"/>
  <c r="A43" i="188" s="1"/>
  <c r="A44" i="188" s="1"/>
  <c r="A45" i="188" s="1"/>
  <c r="A46" i="188" s="1"/>
  <c r="A47" i="188" s="1"/>
  <c r="A48" i="188" s="1"/>
  <c r="A49" i="188" s="1"/>
  <c r="A50" i="188" s="1"/>
  <c r="A51" i="188" s="1"/>
  <c r="A52" i="188" s="1"/>
  <c r="A53" i="188" s="1"/>
  <c r="A54" i="188" s="1"/>
  <c r="A55" i="188" s="1"/>
  <c r="A56" i="188" s="1"/>
  <c r="A57" i="188" s="1"/>
  <c r="A58" i="188" s="1"/>
  <c r="A59" i="188" s="1"/>
  <c r="A60" i="188" s="1"/>
  <c r="A61" i="188" s="1"/>
  <c r="A62" i="188" s="1"/>
  <c r="A63" i="188" s="1"/>
  <c r="A64" i="188" s="1"/>
  <c r="A65" i="188" s="1"/>
  <c r="A66" i="188" s="1"/>
  <c r="A67" i="188" s="1"/>
  <c r="A68" i="188" s="1"/>
  <c r="A69" i="188" s="1"/>
  <c r="A70" i="188" s="1"/>
  <c r="A71" i="188" s="1"/>
  <c r="A72" i="188" s="1"/>
  <c r="A73" i="188" s="1"/>
  <c r="A74" i="188" s="1"/>
  <c r="A75" i="188" s="1"/>
  <c r="A76" i="188" s="1"/>
  <c r="A77" i="188" s="1"/>
  <c r="A78" i="188" s="1"/>
  <c r="A79" i="188" s="1"/>
  <c r="A80" i="188" s="1"/>
  <c r="A81" i="188" s="1"/>
  <c r="A82" i="188" s="1"/>
  <c r="A83" i="188" s="1"/>
  <c r="A84" i="188" s="1"/>
  <c r="A85" i="188" s="1"/>
  <c r="A86" i="188" s="1"/>
  <c r="A87" i="188" s="1"/>
  <c r="A88" i="188" s="1"/>
  <c r="A89" i="188" s="1"/>
  <c r="A90" i="188" s="1"/>
  <c r="A91" i="188" s="1"/>
  <c r="A92" i="188" s="1"/>
  <c r="A93" i="188" s="1"/>
  <c r="A94" i="188" s="1"/>
  <c r="A95" i="188" s="1"/>
  <c r="A96" i="188" s="1"/>
  <c r="A97" i="188" s="1"/>
  <c r="A98" i="188" s="1"/>
  <c r="A99" i="188" s="1"/>
  <c r="A100" i="188" s="1"/>
  <c r="A101" i="188" s="1"/>
  <c r="A102" i="188" s="1"/>
  <c r="A103" i="188" s="1"/>
  <c r="A104" i="188" s="1"/>
  <c r="A105" i="188" s="1"/>
  <c r="A106" i="188" s="1"/>
  <c r="A107" i="188" s="1"/>
  <c r="A108" i="188" s="1"/>
  <c r="A109" i="188" s="1"/>
  <c r="A16" i="187"/>
  <c r="A17" i="187" s="1"/>
  <c r="A18" i="187" s="1"/>
  <c r="A19" i="187" s="1"/>
  <c r="A20" i="187" s="1"/>
  <c r="A21" i="187" s="1"/>
  <c r="A22" i="187" s="1"/>
  <c r="A23" i="187" s="1"/>
  <c r="A24" i="187" s="1"/>
  <c r="A25" i="187" s="1"/>
  <c r="A26" i="187" s="1"/>
  <c r="A27" i="187" s="1"/>
  <c r="A28" i="187" s="1"/>
  <c r="A29" i="187" s="1"/>
  <c r="A30" i="187" s="1"/>
  <c r="A31" i="187" s="1"/>
  <c r="A32" i="187" s="1"/>
  <c r="A33" i="187" s="1"/>
  <c r="A34" i="187" s="1"/>
  <c r="A35" i="187" s="1"/>
  <c r="A36" i="187" s="1"/>
  <c r="A37" i="187" s="1"/>
  <c r="A38" i="187" s="1"/>
  <c r="A39" i="187" s="1"/>
  <c r="A40" i="187" s="1"/>
  <c r="A41" i="187" s="1"/>
  <c r="A42" i="187" s="1"/>
  <c r="A43" i="187" s="1"/>
  <c r="A44" i="187" s="1"/>
  <c r="A45" i="187" s="1"/>
  <c r="A46" i="187" s="1"/>
  <c r="A47" i="187" s="1"/>
  <c r="A48" i="187" s="1"/>
  <c r="A49" i="187" s="1"/>
  <c r="A50" i="187" s="1"/>
  <c r="A51" i="187" s="1"/>
  <c r="A52" i="187" s="1"/>
  <c r="A53" i="187" s="1"/>
  <c r="A54" i="187" s="1"/>
  <c r="A55" i="187" s="1"/>
  <c r="A56" i="187" s="1"/>
  <c r="A57" i="187" s="1"/>
  <c r="A58" i="187" s="1"/>
  <c r="A59" i="187" s="1"/>
  <c r="A60" i="187" s="1"/>
  <c r="A61" i="187" s="1"/>
  <c r="A62" i="187" s="1"/>
  <c r="A63" i="187" s="1"/>
  <c r="A64" i="187" s="1"/>
  <c r="A65" i="187" s="1"/>
  <c r="A66" i="187" s="1"/>
  <c r="A67" i="187" s="1"/>
  <c r="A68" i="187" s="1"/>
  <c r="A69" i="187" s="1"/>
  <c r="A70" i="187" s="1"/>
  <c r="A71" i="187" s="1"/>
  <c r="A72" i="187" s="1"/>
  <c r="A73" i="187" s="1"/>
  <c r="A74" i="187" s="1"/>
  <c r="A75" i="187" s="1"/>
  <c r="A76" i="187" s="1"/>
  <c r="A77" i="187" s="1"/>
  <c r="A78" i="187" s="1"/>
  <c r="A79" i="187" s="1"/>
  <c r="A80" i="187" s="1"/>
  <c r="A81" i="187" s="1"/>
  <c r="A82" i="187" s="1"/>
  <c r="A83" i="187" s="1"/>
  <c r="A84" i="187" s="1"/>
  <c r="A85" i="187" s="1"/>
  <c r="A86" i="187" s="1"/>
  <c r="A87" i="187" s="1"/>
  <c r="A88" i="187" s="1"/>
  <c r="A89" i="187" s="1"/>
  <c r="A90" i="187" s="1"/>
  <c r="A91" i="187" s="1"/>
  <c r="A92" i="187" s="1"/>
  <c r="A93" i="187" s="1"/>
  <c r="A94" i="187" s="1"/>
  <c r="A95" i="187" s="1"/>
  <c r="A96" i="187" s="1"/>
  <c r="A97" i="187" s="1"/>
  <c r="A98" i="187" s="1"/>
  <c r="A99" i="187" s="1"/>
  <c r="A100" i="187" s="1"/>
  <c r="A101" i="187" s="1"/>
  <c r="A102" i="187" s="1"/>
  <c r="A103" i="187" s="1"/>
  <c r="A104" i="187" s="1"/>
  <c r="A105" i="187" s="1"/>
  <c r="A106" i="187" s="1"/>
  <c r="A107" i="187" s="1"/>
  <c r="A108" i="187" s="1"/>
  <c r="A109" i="187" s="1"/>
  <c r="A110" i="187" s="1"/>
  <c r="A111" i="187" s="1"/>
  <c r="A112" i="187" s="1"/>
  <c r="A113" i="187" s="1"/>
  <c r="A114" i="187" s="1"/>
  <c r="A115" i="187" s="1"/>
  <c r="A116" i="187" s="1"/>
  <c r="A117" i="187" s="1"/>
  <c r="A118" i="187" s="1"/>
  <c r="A119" i="187" s="1"/>
  <c r="A120" i="187" s="1"/>
  <c r="A121" i="187" s="1"/>
  <c r="A122" i="187" s="1"/>
  <c r="N111" i="188" l="1"/>
  <c r="N113" i="188" s="1"/>
  <c r="P112" i="188" l="1"/>
  <c r="O111" i="188"/>
  <c r="O113" i="188" s="1"/>
  <c r="M124" i="187" l="1"/>
  <c r="M126" i="187" s="1"/>
  <c r="N124" i="187"/>
  <c r="L124" i="187" l="1"/>
  <c r="L126" i="187" s="1"/>
  <c r="O124" i="187"/>
  <c r="O126" i="187" s="1"/>
  <c r="N126" i="187"/>
  <c r="P125" i="187"/>
  <c r="A17" i="186"/>
  <c r="A18" i="186" s="1"/>
  <c r="A19" i="186" s="1"/>
  <c r="A20" i="186" s="1"/>
  <c r="A21" i="186" s="1"/>
  <c r="A22" i="186" s="1"/>
  <c r="A23" i="186" s="1"/>
  <c r="A24" i="186" s="1"/>
  <c r="A25" i="186" s="1"/>
  <c r="A26" i="186" s="1"/>
  <c r="A27" i="186" s="1"/>
  <c r="A17" i="185"/>
  <c r="A18" i="185" s="1"/>
  <c r="A19" i="185" s="1"/>
  <c r="A20" i="185" s="1"/>
  <c r="A21" i="185" s="1"/>
  <c r="A22" i="185" s="1"/>
  <c r="A23" i="185" s="1"/>
  <c r="A24" i="185" s="1"/>
  <c r="A25" i="185" s="1"/>
  <c r="A26" i="185" s="1"/>
  <c r="A27" i="185" s="1"/>
  <c r="A28" i="185" s="1"/>
  <c r="A29" i="185" s="1"/>
  <c r="A30" i="185" s="1"/>
  <c r="A31" i="185" s="1"/>
  <c r="A32" i="185" s="1"/>
  <c r="A33" i="185" s="1"/>
  <c r="N29" i="186" l="1"/>
  <c r="N31" i="186" s="1"/>
  <c r="P124" i="187"/>
  <c r="P126" i="187" s="1"/>
  <c r="L29" i="186"/>
  <c r="L31" i="186" s="1"/>
  <c r="M29" i="186"/>
  <c r="M31" i="186" s="1"/>
  <c r="O29" i="186"/>
  <c r="O31" i="186" s="1"/>
  <c r="P30" i="186"/>
  <c r="E281" i="184"/>
  <c r="E277" i="184"/>
  <c r="E267" i="184"/>
  <c r="E266" i="184"/>
  <c r="E265" i="184"/>
  <c r="E263" i="184"/>
  <c r="E262" i="184"/>
  <c r="E261" i="184"/>
  <c r="E260" i="184"/>
  <c r="E259" i="184"/>
  <c r="E216" i="184"/>
  <c r="E215" i="184"/>
  <c r="E214" i="184"/>
  <c r="E213" i="184"/>
  <c r="E212" i="184"/>
  <c r="E211" i="184"/>
  <c r="E210" i="184"/>
  <c r="E207" i="184"/>
  <c r="E209" i="184" s="1"/>
  <c r="E256" i="184"/>
  <c r="E255" i="184"/>
  <c r="E254" i="184"/>
  <c r="E253" i="184"/>
  <c r="E250" i="184"/>
  <c r="E251" i="184" s="1"/>
  <c r="E244" i="184"/>
  <c r="E248" i="184"/>
  <c r="E247" i="184"/>
  <c r="E246" i="184"/>
  <c r="E245" i="184"/>
  <c r="E242" i="184"/>
  <c r="E241" i="184"/>
  <c r="E238" i="184"/>
  <c r="E237" i="184"/>
  <c r="E239" i="184" s="1"/>
  <c r="E234" i="184"/>
  <c r="E236" i="184" s="1"/>
  <c r="E230" i="184"/>
  <c r="E228" i="184"/>
  <c r="E232" i="184"/>
  <c r="E231" i="184"/>
  <c r="E229" i="184"/>
  <c r="E226" i="184"/>
  <c r="E225" i="184"/>
  <c r="E222" i="184"/>
  <c r="E221" i="184"/>
  <c r="E218" i="184"/>
  <c r="O9" i="187" l="1"/>
  <c r="P29" i="186"/>
  <c r="P31" i="186" s="1"/>
  <c r="L35" i="185"/>
  <c r="L37" i="185" s="1"/>
  <c r="P35" i="185"/>
  <c r="N35" i="185"/>
  <c r="O35" i="185"/>
  <c r="O37" i="185" s="1"/>
  <c r="M35" i="185"/>
  <c r="M37" i="185" s="1"/>
  <c r="E208" i="184"/>
  <c r="E240" i="184"/>
  <c r="E243" i="184"/>
  <c r="E235" i="184"/>
  <c r="E219" i="184"/>
  <c r="E220" i="184"/>
  <c r="E223" i="184"/>
  <c r="E227" i="184"/>
  <c r="O9" i="186" l="1"/>
  <c r="N37" i="185"/>
  <c r="P36" i="185"/>
  <c r="P37" i="185" s="1"/>
  <c r="E224" i="184"/>
  <c r="O9" i="185" l="1"/>
  <c r="E204" i="184" l="1"/>
  <c r="E203" i="184"/>
  <c r="E201" i="184" l="1"/>
  <c r="E200" i="184"/>
  <c r="E199" i="184"/>
  <c r="E197" i="184"/>
  <c r="E196" i="184"/>
  <c r="E195" i="184"/>
  <c r="E194" i="184"/>
  <c r="E193" i="184"/>
  <c r="E191" i="184"/>
  <c r="E190" i="184"/>
  <c r="E189" i="184"/>
  <c r="E188" i="184"/>
  <c r="E187" i="184"/>
  <c r="E186" i="184"/>
  <c r="E185" i="184"/>
  <c r="E183" i="184"/>
  <c r="E182" i="184"/>
  <c r="E181" i="184"/>
  <c r="E180" i="184"/>
  <c r="E179" i="184"/>
  <c r="E176" i="184"/>
  <c r="E178" i="184" s="1"/>
  <c r="E171" i="184"/>
  <c r="E174" i="184"/>
  <c r="E173" i="184"/>
  <c r="E172" i="184"/>
  <c r="E170" i="184"/>
  <c r="E169" i="184"/>
  <c r="E167" i="184"/>
  <c r="E166" i="184"/>
  <c r="E165" i="184"/>
  <c r="E164" i="184"/>
  <c r="E163" i="184"/>
  <c r="E160" i="184"/>
  <c r="E162" i="184" s="1"/>
  <c r="E67" i="184"/>
  <c r="E66" i="184"/>
  <c r="E64" i="184"/>
  <c r="E62" i="184"/>
  <c r="E60" i="184"/>
  <c r="E59" i="184"/>
  <c r="E57" i="184"/>
  <c r="E56" i="184"/>
  <c r="E54" i="184"/>
  <c r="E184" i="184" l="1"/>
  <c r="E177" i="184"/>
  <c r="E168" i="184"/>
  <c r="E161" i="184"/>
  <c r="E49" i="184" l="1"/>
  <c r="E48" i="184"/>
  <c r="E46" i="184"/>
  <c r="E44" i="184"/>
  <c r="E42" i="184"/>
  <c r="E41" i="184"/>
  <c r="E39" i="184"/>
  <c r="E38" i="184"/>
  <c r="E36" i="184"/>
  <c r="E157" i="184"/>
  <c r="E155" i="184"/>
  <c r="E154" i="184"/>
  <c r="E153" i="184"/>
  <c r="E151" i="184"/>
  <c r="E149" i="184"/>
  <c r="E147" i="184"/>
  <c r="E145" i="184"/>
  <c r="E143" i="184"/>
  <c r="E141" i="184"/>
  <c r="E140" i="184"/>
  <c r="E139" i="184"/>
  <c r="E138" i="184"/>
  <c r="E109" i="184"/>
  <c r="E107" i="184"/>
  <c r="E106" i="184"/>
  <c r="E104" i="184"/>
  <c r="E87" i="184"/>
  <c r="E117" i="184"/>
  <c r="E116" i="184"/>
  <c r="E118" i="184" s="1"/>
  <c r="E121" i="184"/>
  <c r="E135" i="184"/>
  <c r="E134" i="184"/>
  <c r="E133" i="184"/>
  <c r="E130" i="184"/>
  <c r="E131" i="184" s="1"/>
  <c r="E128" i="184"/>
  <c r="E127" i="184"/>
  <c r="E125" i="184"/>
  <c r="E123" i="184"/>
  <c r="E114" i="184"/>
  <c r="E113" i="184"/>
  <c r="E112" i="184"/>
  <c r="E111" i="184"/>
  <c r="E119" i="184" l="1"/>
  <c r="E102" i="184" l="1"/>
  <c r="E101" i="184"/>
  <c r="E85" i="184"/>
  <c r="E84" i="184"/>
  <c r="E82" i="184"/>
  <c r="E99" i="184" l="1"/>
  <c r="E97" i="184"/>
  <c r="E95" i="184"/>
  <c r="E94" i="184"/>
  <c r="E93" i="184"/>
  <c r="E92" i="184"/>
  <c r="E89" i="184"/>
  <c r="E80" i="184" l="1"/>
  <c r="E78" i="184"/>
  <c r="E76" i="184"/>
  <c r="E75" i="184"/>
  <c r="E74" i="184"/>
  <c r="E73" i="184"/>
  <c r="N283" i="184" l="1"/>
  <c r="N285" i="184" l="1"/>
  <c r="P284" i="184"/>
  <c r="A16" i="184"/>
  <c r="A17" i="184" s="1"/>
  <c r="A18" i="184" s="1"/>
  <c r="A19" i="184" s="1"/>
  <c r="A20" i="184" s="1"/>
  <c r="A21" i="184" s="1"/>
  <c r="A22" i="184" s="1"/>
  <c r="A23" i="184" s="1"/>
  <c r="A24" i="184" s="1"/>
  <c r="A25" i="184" s="1"/>
  <c r="A26" i="184" s="1"/>
  <c r="A27" i="184" s="1"/>
  <c r="A28" i="184" s="1"/>
  <c r="A29" i="184" s="1"/>
  <c r="A30" i="184" s="1"/>
  <c r="A31" i="184" s="1"/>
  <c r="A32" i="184" s="1"/>
  <c r="A33" i="184" s="1"/>
  <c r="A34" i="184" s="1"/>
  <c r="A35" i="184" s="1"/>
  <c r="A36" i="184" s="1"/>
  <c r="A37" i="184" s="1"/>
  <c r="A38" i="184" s="1"/>
  <c r="A39" i="184" s="1"/>
  <c r="A40" i="184" s="1"/>
  <c r="A41" i="184" s="1"/>
  <c r="A42" i="184" s="1"/>
  <c r="A43" i="184" s="1"/>
  <c r="A44" i="184" s="1"/>
  <c r="A45" i="184" s="1"/>
  <c r="A46" i="184" s="1"/>
  <c r="A47" i="184" s="1"/>
  <c r="A48" i="184" s="1"/>
  <c r="A49" i="184" s="1"/>
  <c r="A50" i="184" s="1"/>
  <c r="A51" i="184" s="1"/>
  <c r="A52" i="184" s="1"/>
  <c r="A53" i="184" s="1"/>
  <c r="A54" i="184" s="1"/>
  <c r="A55" i="184" s="1"/>
  <c r="A56" i="184" s="1"/>
  <c r="A57" i="184" s="1"/>
  <c r="A58" i="184" s="1"/>
  <c r="A59" i="184" s="1"/>
  <c r="A60" i="184" s="1"/>
  <c r="A61" i="184" s="1"/>
  <c r="A62" i="184" s="1"/>
  <c r="A63" i="184" s="1"/>
  <c r="A64" i="184" s="1"/>
  <c r="A65" i="184" s="1"/>
  <c r="A66" i="184" s="1"/>
  <c r="A67" i="184" s="1"/>
  <c r="A68" i="184" s="1"/>
  <c r="A69" i="184" s="1"/>
  <c r="A70" i="184" s="1"/>
  <c r="A71" i="184" s="1"/>
  <c r="A72" i="184" s="1"/>
  <c r="A73" i="184" s="1"/>
  <c r="A74" i="184" s="1"/>
  <c r="A75" i="184" s="1"/>
  <c r="A76" i="184" s="1"/>
  <c r="A77" i="184" s="1"/>
  <c r="A78" i="184" s="1"/>
  <c r="A79" i="184" s="1"/>
  <c r="A80" i="184" s="1"/>
  <c r="A81" i="184" s="1"/>
  <c r="A82" i="184" s="1"/>
  <c r="A83" i="184" s="1"/>
  <c r="A84" i="184" s="1"/>
  <c r="A85" i="184" s="1"/>
  <c r="A86" i="184" s="1"/>
  <c r="A87" i="184" s="1"/>
  <c r="A88" i="184" s="1"/>
  <c r="A89" i="184" s="1"/>
  <c r="A90" i="184" s="1"/>
  <c r="A91" i="184" s="1"/>
  <c r="A92" i="184" s="1"/>
  <c r="A93" i="184" s="1"/>
  <c r="A94" i="184" s="1"/>
  <c r="A95" i="184" s="1"/>
  <c r="A96" i="184" s="1"/>
  <c r="A97" i="184" s="1"/>
  <c r="A98" i="184" s="1"/>
  <c r="A99" i="184" s="1"/>
  <c r="A100" i="184" s="1"/>
  <c r="A101" i="184" s="1"/>
  <c r="A102" i="184" s="1"/>
  <c r="A103" i="184" s="1"/>
  <c r="A104" i="184" s="1"/>
  <c r="A105" i="184" s="1"/>
  <c r="A106" i="184" s="1"/>
  <c r="A107" i="184" s="1"/>
  <c r="A108" i="184" s="1"/>
  <c r="A109" i="184" s="1"/>
  <c r="A110" i="184" s="1"/>
  <c r="A111" i="184" s="1"/>
  <c r="A112" i="184" s="1"/>
  <c r="A113" i="184" s="1"/>
  <c r="A114" i="184" s="1"/>
  <c r="A115" i="184" s="1"/>
  <c r="A116" i="184" s="1"/>
  <c r="A117" i="184" s="1"/>
  <c r="A118" i="184" s="1"/>
  <c r="A119" i="184" s="1"/>
  <c r="A120" i="184" s="1"/>
  <c r="A121" i="184" s="1"/>
  <c r="A122" i="184" s="1"/>
  <c r="A123" i="184" s="1"/>
  <c r="A124" i="184" s="1"/>
  <c r="A125" i="184" s="1"/>
  <c r="A126" i="184" s="1"/>
  <c r="A127" i="184" s="1"/>
  <c r="A128" i="184" s="1"/>
  <c r="A129" i="184" s="1"/>
  <c r="A130" i="184" s="1"/>
  <c r="A131" i="184" s="1"/>
  <c r="A132" i="184" s="1"/>
  <c r="A133" i="184" s="1"/>
  <c r="A134" i="184" s="1"/>
  <c r="A135" i="184" s="1"/>
  <c r="A136" i="184" s="1"/>
  <c r="A137" i="184" s="1"/>
  <c r="A138" i="184" s="1"/>
  <c r="A139" i="184" s="1"/>
  <c r="A140" i="184" s="1"/>
  <c r="A141" i="184" s="1"/>
  <c r="A142" i="184" s="1"/>
  <c r="A143" i="184" s="1"/>
  <c r="A144" i="184" s="1"/>
  <c r="A145" i="184" s="1"/>
  <c r="A146" i="184" s="1"/>
  <c r="A147" i="184" s="1"/>
  <c r="A148" i="184" s="1"/>
  <c r="A149" i="184" s="1"/>
  <c r="A150" i="184" s="1"/>
  <c r="A151" i="184" s="1"/>
  <c r="A152" i="184" s="1"/>
  <c r="A153" i="184" s="1"/>
  <c r="A154" i="184" s="1"/>
  <c r="A155" i="184" s="1"/>
  <c r="A156" i="184" s="1"/>
  <c r="A157" i="184" s="1"/>
  <c r="A158" i="184" s="1"/>
  <c r="A159" i="184" s="1"/>
  <c r="A160" i="184" s="1"/>
  <c r="A161" i="184" s="1"/>
  <c r="A162" i="184" s="1"/>
  <c r="A163" i="184" s="1"/>
  <c r="A164" i="184" s="1"/>
  <c r="A165" i="184" s="1"/>
  <c r="A166" i="184" s="1"/>
  <c r="A167" i="184" s="1"/>
  <c r="A168" i="184" s="1"/>
  <c r="A169" i="184" s="1"/>
  <c r="A170" i="184" s="1"/>
  <c r="A171" i="184" s="1"/>
  <c r="A172" i="184" s="1"/>
  <c r="A173" i="184" s="1"/>
  <c r="A174" i="184" s="1"/>
  <c r="A175" i="184" s="1"/>
  <c r="A176" i="184" s="1"/>
  <c r="A177" i="184" s="1"/>
  <c r="A178" i="184" s="1"/>
  <c r="A179" i="184" s="1"/>
  <c r="A180" i="184" s="1"/>
  <c r="A181" i="184" s="1"/>
  <c r="A182" i="184" s="1"/>
  <c r="A183" i="184" s="1"/>
  <c r="A184" i="184" s="1"/>
  <c r="A185" i="184" s="1"/>
  <c r="A186" i="184" s="1"/>
  <c r="A187" i="184" s="1"/>
  <c r="A188" i="184" s="1"/>
  <c r="A189" i="184" s="1"/>
  <c r="A190" i="184" s="1"/>
  <c r="A191" i="184" s="1"/>
  <c r="A192" i="184" s="1"/>
  <c r="A193" i="184" s="1"/>
  <c r="A194" i="184" s="1"/>
  <c r="A195" i="184" s="1"/>
  <c r="A196" i="184" s="1"/>
  <c r="A197" i="184" s="1"/>
  <c r="A198" i="184" s="1"/>
  <c r="A199" i="184" s="1"/>
  <c r="A200" i="184" s="1"/>
  <c r="A201" i="184" s="1"/>
  <c r="A202" i="184" s="1"/>
  <c r="A203" i="184" s="1"/>
  <c r="A204" i="184" s="1"/>
  <c r="A205" i="184" s="1"/>
  <c r="A206" i="184" s="1"/>
  <c r="A207" i="184" s="1"/>
  <c r="A208" i="184" s="1"/>
  <c r="A209" i="184" s="1"/>
  <c r="A210" i="184" s="1"/>
  <c r="A211" i="184" s="1"/>
  <c r="A212" i="184" s="1"/>
  <c r="A213" i="184" s="1"/>
  <c r="A214" i="184" s="1"/>
  <c r="A215" i="184" s="1"/>
  <c r="A216" i="184" s="1"/>
  <c r="A217" i="184" s="1"/>
  <c r="A218" i="184" s="1"/>
  <c r="A219" i="184" s="1"/>
  <c r="A220" i="184" s="1"/>
  <c r="A221" i="184" s="1"/>
  <c r="A222" i="184" s="1"/>
  <c r="A223" i="184" s="1"/>
  <c r="A224" i="184" s="1"/>
  <c r="A225" i="184" s="1"/>
  <c r="A226" i="184" s="1"/>
  <c r="A227" i="184" s="1"/>
  <c r="A228" i="184" s="1"/>
  <c r="A229" i="184" s="1"/>
  <c r="A230" i="184" s="1"/>
  <c r="A231" i="184" s="1"/>
  <c r="A232" i="184" s="1"/>
  <c r="A233" i="184" s="1"/>
  <c r="A234" i="184" s="1"/>
  <c r="A235" i="184" s="1"/>
  <c r="A236" i="184" s="1"/>
  <c r="A237" i="184" s="1"/>
  <c r="A238" i="184" s="1"/>
  <c r="A239" i="184" s="1"/>
  <c r="A240" i="184" s="1"/>
  <c r="A241" i="184" s="1"/>
  <c r="A242" i="184" s="1"/>
  <c r="A243" i="184" s="1"/>
  <c r="A244" i="184" s="1"/>
  <c r="A245" i="184" s="1"/>
  <c r="A246" i="184" s="1"/>
  <c r="A247" i="184" s="1"/>
  <c r="A248" i="184" s="1"/>
  <c r="A249" i="184" s="1"/>
  <c r="A250" i="184" s="1"/>
  <c r="A251" i="184" s="1"/>
  <c r="A252" i="184" s="1"/>
  <c r="A253" i="184" s="1"/>
  <c r="A254" i="184" s="1"/>
  <c r="A255" i="184" s="1"/>
  <c r="A256" i="184" s="1"/>
  <c r="A257" i="184" s="1"/>
  <c r="A258" i="184" s="1"/>
  <c r="A259" i="184" s="1"/>
  <c r="A260" i="184" s="1"/>
  <c r="A261" i="184" s="1"/>
  <c r="A262" i="184" s="1"/>
  <c r="A263" i="184" s="1"/>
  <c r="A264" i="184" s="1"/>
  <c r="A265" i="184" s="1"/>
  <c r="A266" i="184" s="1"/>
  <c r="A267" i="184" s="1"/>
  <c r="A268" i="184" s="1"/>
  <c r="A269" i="184" s="1"/>
  <c r="A270" i="184" s="1"/>
  <c r="A271" i="184" s="1"/>
  <c r="A272" i="184" s="1"/>
  <c r="A273" i="184" s="1"/>
  <c r="A274" i="184" s="1"/>
  <c r="A275" i="184" s="1"/>
  <c r="A276" i="184" s="1"/>
  <c r="A277" i="184" s="1"/>
  <c r="A278" i="184" s="1"/>
  <c r="A279" i="184" s="1"/>
  <c r="A280" i="184" s="1"/>
  <c r="A281" i="184" s="1"/>
  <c r="L283" i="184" l="1"/>
  <c r="L285" i="184" s="1"/>
  <c r="O283" i="184" l="1"/>
  <c r="O285" i="184" s="1"/>
  <c r="M283" i="184"/>
  <c r="M285" i="184" s="1"/>
  <c r="P283" i="184" l="1"/>
  <c r="P285" i="184" s="1"/>
  <c r="O9" i="184" l="1"/>
  <c r="L111" i="188" l="1"/>
  <c r="L113" i="188" s="1"/>
  <c r="M111" i="188" l="1"/>
  <c r="M113" i="188" s="1"/>
  <c r="P111" i="188"/>
  <c r="P113" i="188" s="1"/>
  <c r="O9" i="188" l="1"/>
</calcChain>
</file>

<file path=xl/comments1.xml><?xml version="1.0" encoding="utf-8"?>
<comments xmlns="http://schemas.openxmlformats.org/spreadsheetml/2006/main">
  <authors>
    <author>test</author>
  </authors>
  <commentList>
    <comment ref="I155" authorId="0">
      <text>
        <r>
          <rPr>
            <b/>
            <sz val="9"/>
            <color indexed="81"/>
            <rFont val="Tahoma"/>
            <family val="2"/>
            <charset val="186"/>
          </rPr>
          <t>test:</t>
        </r>
        <r>
          <rPr>
            <sz val="9"/>
            <color indexed="81"/>
            <rFont val="Tahoma"/>
            <family val="2"/>
            <charset val="186"/>
          </rPr>
          <t xml:space="preserve">
RK</t>
        </r>
      </text>
    </comment>
  </commentList>
</comments>
</file>

<file path=xl/sharedStrings.xml><?xml version="1.0" encoding="utf-8"?>
<sst xmlns="http://schemas.openxmlformats.org/spreadsheetml/2006/main" count="1132" uniqueCount="438">
  <si>
    <t>Mērvienība</t>
  </si>
  <si>
    <t>Daudzums</t>
  </si>
  <si>
    <t>KOPĀ:</t>
  </si>
  <si>
    <t>1</t>
  </si>
  <si>
    <t xml:space="preserve">Pasūtījuma Nr: </t>
  </si>
  <si>
    <t>Nr. p. k.</t>
  </si>
  <si>
    <t>Kods</t>
  </si>
  <si>
    <t>Darba nosaukums (apraksts)</t>
  </si>
  <si>
    <t>Vienības izmaksas</t>
  </si>
  <si>
    <t>Kopā uz visu apjomu</t>
  </si>
  <si>
    <t>Laika norma (c/h)</t>
  </si>
  <si>
    <t>Darbietilpība (c/h)</t>
  </si>
  <si>
    <t>Lokālā tāme Nr. 1</t>
  </si>
  <si>
    <t>m2</t>
  </si>
  <si>
    <t>gb</t>
  </si>
  <si>
    <t>Piezīmes:</t>
  </si>
  <si>
    <t>Visi materiāli aizstājami ar ekvivalentiem materiāliem</t>
  </si>
  <si>
    <t>Darba alga (EUR)</t>
  </si>
  <si>
    <t>Materiāli (EUR)</t>
  </si>
  <si>
    <t>Mehānismi (EUR)</t>
  </si>
  <si>
    <t>m3</t>
  </si>
  <si>
    <t>Darba samaksas likme (EUR/h)</t>
  </si>
  <si>
    <t>Kopā (EUR)</t>
  </si>
  <si>
    <t>Summa (EUR)</t>
  </si>
  <si>
    <t>kompl.</t>
  </si>
  <si>
    <t>gb.</t>
  </si>
  <si>
    <t>Būvlaukuma sagatavošana un uzturēšana</t>
  </si>
  <si>
    <t>m</t>
  </si>
  <si>
    <t>Objekta logo izgatavošana un uzstādīšana</t>
  </si>
  <si>
    <t>vien.</t>
  </si>
  <si>
    <t>mēn</t>
  </si>
  <si>
    <t>Mēneša maksa par elektrību</t>
  </si>
  <si>
    <t>Pagaidu elektrības pievada ierīkošana</t>
  </si>
  <si>
    <t>kpl</t>
  </si>
  <si>
    <t>Ūdens pieslēguma ierīkošana</t>
  </si>
  <si>
    <t>Mēneša maksa par ūdensapgādi</t>
  </si>
  <si>
    <t>Tāme sastādīta 2017. gada tirgus cenās, pamatojoties uz būvprojektu</t>
  </si>
  <si>
    <t>gab.</t>
  </si>
  <si>
    <t>Palīgmateriāli</t>
  </si>
  <si>
    <t>Objekta adrese: "Klubs Kaltenē", Kaltene, Rojas novads</t>
  </si>
  <si>
    <t>Šķembas 18-22</t>
  </si>
  <si>
    <t>Veidņu uzstādīšana un izjaukšana lentveida un stabveida pamatiem no inventārveidņiem Peri vai analogiem</t>
  </si>
  <si>
    <t>Sienu veidņi "DOMINO" stabveida un lentvieda pamatiem PERI</t>
  </si>
  <si>
    <t>Palīgmateriāli (aizbāžņi, caurules, konusi, veiņu eļļa, kokmateriāli)</t>
  </si>
  <si>
    <t>Armatūras uzstādīšana ar rokām, sasiešana stabveida pamatiem, distanceru uzstādīšana</t>
  </si>
  <si>
    <t>t</t>
  </si>
  <si>
    <t>Armatūra B500B, proj</t>
  </si>
  <si>
    <t>Palīgmateriāli (distanceri, stieple)</t>
  </si>
  <si>
    <t>Pamatu betonēšana</t>
  </si>
  <si>
    <t>Transportbetons C20/25</t>
  </si>
  <si>
    <t>Vertikālās hidroizolācijas ierīkošana 2 kārtās</t>
  </si>
  <si>
    <t>Tenax Hidroizols T 25L bituma mastika</t>
  </si>
  <si>
    <t>Horizontālās hidroizolācijas ierīkošana 2 kārtās</t>
  </si>
  <si>
    <t>RUBEROĪDS RPP- 300 (15m2)</t>
  </si>
  <si>
    <t>Šķembu pamatojuma ierīkošana 200 mm biezumā,  blietēšana</t>
  </si>
  <si>
    <t>m³</t>
  </si>
  <si>
    <t>Būvkalumi (caurumotā plāksne CP2-60-200)</t>
  </si>
  <si>
    <t>Naglas</t>
  </si>
  <si>
    <t>kg</t>
  </si>
  <si>
    <t>Enkurnaglas 4*50</t>
  </si>
  <si>
    <t>100 gb</t>
  </si>
  <si>
    <t>Koka karkasa elementu apstrāde ar antiseptiķiem un antipirēniem</t>
  </si>
  <si>
    <t>m²</t>
  </si>
  <si>
    <t>Ugunsdrošs antiseptiķis Bochemit Basic</t>
  </si>
  <si>
    <t>l</t>
  </si>
  <si>
    <t>Kokmateriāli, C16</t>
  </si>
  <si>
    <t>t.m.</t>
  </si>
  <si>
    <t>Šķērsatojuma ierīkošana  50x50 mm</t>
  </si>
  <si>
    <t>Latas 50x50mm</t>
  </si>
  <si>
    <t>Naglas 120 mm</t>
  </si>
  <si>
    <t>Būvgružu sakraušana konteirneros un nodošana izgāztuvē</t>
  </si>
  <si>
    <t>Estrich betona iestrādāšana grīdā, b=70 mm</t>
  </si>
  <si>
    <t>Estrich betons</t>
  </si>
  <si>
    <t>Grunts aizvešana līdz atbērtnei 1 km attālumā, līdzināšana</t>
  </si>
  <si>
    <t>Smilts</t>
  </si>
  <si>
    <t>Grunts rakšana</t>
  </si>
  <si>
    <t>Smilšpapīrs</t>
  </si>
  <si>
    <t>Špaktele nobeiguma VET.LR 25kg</t>
  </si>
  <si>
    <t>Špaktele gat. univers. SHEETROCK(zaļa) 28kg</t>
  </si>
  <si>
    <t>Grunts KN Tiefengruntd 15 l</t>
  </si>
  <si>
    <t>Stūra šina 25x25 GKB L=3m Fasten</t>
  </si>
  <si>
    <t>Līmlenta krāsotājam, Kreps263 25mmx50m</t>
  </si>
  <si>
    <t>Hermētiķis NEO ACRYL BALTS 310ml</t>
  </si>
  <si>
    <t>Krāsa VIVAPLAST 9L (tonēta)</t>
  </si>
  <si>
    <t>Špaktele šuvēm Fugenfuller 25 kg</t>
  </si>
  <si>
    <t>Transporta izmaksas 10 % no materiālu izmaksām:</t>
  </si>
  <si>
    <t>Teritorijas norobežošana un 2gb vārtu izbūve, žoga noma 4 mēneši</t>
  </si>
  <si>
    <t>Metāla konteinera uzstādīšana, noma  4 mēneši</t>
  </si>
  <si>
    <t>Bio tualetes uzstādīšana un noma</t>
  </si>
  <si>
    <t>Objekta nosaukums: Kaltenes kluba telpu atjaunošana</t>
  </si>
  <si>
    <t>Būves nosaukums: Kaltenes kluba telpu atjaunošana</t>
  </si>
  <si>
    <t xml:space="preserve">Esošās dēļu grīdas slīpēšana </t>
  </si>
  <si>
    <t>Slīplenta P 60</t>
  </si>
  <si>
    <t>Slīplenta P 80</t>
  </si>
  <si>
    <t>Slīplenta P 125</t>
  </si>
  <si>
    <t>Hermētiķis kokam</t>
  </si>
  <si>
    <t>Dēļu grīdas gruntēšana</t>
  </si>
  <si>
    <t>Grunts</t>
  </si>
  <si>
    <t>Dēļu grīdas lakošana 3x</t>
  </si>
  <si>
    <t>Laka Synteko</t>
  </si>
  <si>
    <t>Koka grīdlīstu montāža</t>
  </si>
  <si>
    <t>Koka grīdlīstes 20x70 mm (lakotas)</t>
  </si>
  <si>
    <t>Skrūves ar dībeļiem</t>
  </si>
  <si>
    <t>Grīdas</t>
  </si>
  <si>
    <t>Koka grīdlīstu demontāža</t>
  </si>
  <si>
    <t>Dēļu grīdas ieklāšana</t>
  </si>
  <si>
    <t>Grīdas dēļi priede, 35x112 mm,AB šķira, KD12%</t>
  </si>
  <si>
    <t xml:space="preserve">Dēļu grīdas slīpēšana </t>
  </si>
  <si>
    <t>Gulšņu montāža no brusām stiprinot ar skavām, metāla kalumiem</t>
  </si>
  <si>
    <t>Knauf Knauf Aquapanel Outdoor 12,5 montāža</t>
  </si>
  <si>
    <t>Knauf Aquapanel Outdoor cementa plāksne ārtelpām 12.5x900x2400mm</t>
  </si>
  <si>
    <t>AQUAPANEL® maxi 25 skrūves</t>
  </si>
  <si>
    <t>100 gb.</t>
  </si>
  <si>
    <t>AQUAPANEL® šuvju līme 310 ml</t>
  </si>
  <si>
    <t>AQUAPANEL® grunts</t>
  </si>
  <si>
    <t>Siltumizolācijas b=100+100 mm ieklāšana</t>
  </si>
  <si>
    <t>Vate Paroc extra, 100 mm</t>
  </si>
  <si>
    <t>Tvaika izolācijas ierīkošana</t>
  </si>
  <si>
    <t>Plēve celtn.UV stab. 200mk 3m/50m</t>
  </si>
  <si>
    <t>Grīdas klāja ierīkošana no finiera loksnēm</t>
  </si>
  <si>
    <t>Finieris C/C 18 mm</t>
  </si>
  <si>
    <t>SKRŪVES PAŠZENĶĒJOŠĀS 5x60 FINIERA</t>
  </si>
  <si>
    <t>Grīdu hidroizolācija</t>
  </si>
  <si>
    <t>Hidroizolācija Mapegum WMS 5 kg</t>
  </si>
  <si>
    <t>Šķiedras lenta 25m x 10 cm</t>
  </si>
  <si>
    <t>Flīžu segums grīdai</t>
  </si>
  <si>
    <t>Flīzes</t>
  </si>
  <si>
    <t>CERESIT CU23 Elastīga divkomponentu flīžu līme 10kg</t>
  </si>
  <si>
    <t>Šuvju masa KN 2 kg. tonī</t>
  </si>
  <si>
    <t>Palīgmateriāli (krustiņi, silikons)</t>
  </si>
  <si>
    <t>Pretvēja plēves montāža</t>
  </si>
  <si>
    <t>Pretvēja plēve Jutadach 85</t>
  </si>
  <si>
    <t xml:space="preserve">Kāpņu slīpēšana </t>
  </si>
  <si>
    <t>Kāpņu gruntēšana</t>
  </si>
  <si>
    <t>Kāpņu lakošana 3x</t>
  </si>
  <si>
    <t>Smilts pamata izbūve h=200 mm, blietēšana</t>
  </si>
  <si>
    <t>Grants šķembu pamata izbūve h=100 mm</t>
  </si>
  <si>
    <t>Grants šķembu maisījums 0/45</t>
  </si>
  <si>
    <t>Hidroizolācijas ierīkošana no PE plēves 2 kārtās</t>
  </si>
  <si>
    <t>Plēve celtn.UV stab. 200mk</t>
  </si>
  <si>
    <t>Stiegrojuma sietu uzstādīšana uz siltumizolācijas pamatnes</t>
  </si>
  <si>
    <t>SIETS ARMATŪRAS 8Bpl/200/200</t>
  </si>
  <si>
    <t>Distancers armaturas Styrofix Extra 25/30</t>
  </si>
  <si>
    <t>Distancers stieple 1.4mm 20kg/spainis</t>
  </si>
  <si>
    <t>Esošās grīdas, pamatojuma demontāža</t>
  </si>
  <si>
    <t>Lentveida pamati</t>
  </si>
  <si>
    <t>Stabveida pamati</t>
  </si>
  <si>
    <t>Griesti</t>
  </si>
  <si>
    <t>Griestu apšūšana ar mitrumizturīgām reģipša loksnēm (2 kārtas), ierīkojot metāla karkasu</t>
  </si>
  <si>
    <t>Met.prof.UD 28 l=3000</t>
  </si>
  <si>
    <t>Naglu dībelis 6X40 100gab./kaste</t>
  </si>
  <si>
    <t xml:space="preserve">Amort.lenta 30mm 30m </t>
  </si>
  <si>
    <t>Met.prof.CD 60/27 l=4000</t>
  </si>
  <si>
    <t>Met.prof.CD 60/27 l=1190</t>
  </si>
  <si>
    <t>CD profila savienotājs</t>
  </si>
  <si>
    <t>Metāla ripa</t>
  </si>
  <si>
    <t>Iekares</t>
  </si>
  <si>
    <t>Skrūve</t>
  </si>
  <si>
    <t>Skruve metāla profiliem 4.2x16 ar priekšurbi</t>
  </si>
  <si>
    <t>Krustveida savienot. CD 60/27 NĀKOTNE</t>
  </si>
  <si>
    <t>Reģipsis 1.2 x 3.0  NORG GKBi</t>
  </si>
  <si>
    <t>Reģipša skrūves ar smalko vītni (FSK) 3,5x25</t>
  </si>
  <si>
    <t>100gab</t>
  </si>
  <si>
    <t>Reģipša skrūves ar smalko vītni (FSK) 3,5*35</t>
  </si>
  <si>
    <t>Sietlente reģipša šuvēm 48mmx90m</t>
  </si>
  <si>
    <t>Griestu apšūšana ar mitrumizturīgām reģipša loksnēm, ierīkojot metāla karkasu</t>
  </si>
  <si>
    <t>Griestu gruntēšana un pilna špaktelēšana</t>
  </si>
  <si>
    <t>Griestu krāsojums 2x</t>
  </si>
  <si>
    <r>
      <t>m</t>
    </r>
    <r>
      <rPr>
        <vertAlign val="superscript"/>
        <sz val="9"/>
        <rFont val="Arial"/>
        <family val="2"/>
        <charset val="186"/>
      </rPr>
      <t>2</t>
    </r>
  </si>
  <si>
    <t>Reģipsis 1.2 x 3.0  NORG GKF</t>
  </si>
  <si>
    <t>Metāla konstrukcija un palīgmateriāli griestu montāžai</t>
  </si>
  <si>
    <t>Piekārto griestu montāža</t>
  </si>
  <si>
    <t>Fibrolīta plāksnes, 1.0 mm, krāsotas</t>
  </si>
  <si>
    <t>Sienas</t>
  </si>
  <si>
    <t>Met.prof.CD 60/27 l=3000</t>
  </si>
  <si>
    <t>U-veida skava</t>
  </si>
  <si>
    <t>Skruve metāla profiliem (WSK) 3.5x9.5 ar priekšurbi</t>
  </si>
  <si>
    <t>Reģipsis standarta 1.2 x 3.0 F13 NORG GKB</t>
  </si>
  <si>
    <t>Sienu apšūšana ar ģipškartona loknsnēm (2 kārtas), ierīkojot metāla karkasu</t>
  </si>
  <si>
    <t>Sienu hidroizolācija</t>
  </si>
  <si>
    <t>Sienu flīzēšana</t>
  </si>
  <si>
    <t>Sienas flīzes</t>
  </si>
  <si>
    <t>Flīžu līme 25 kg</t>
  </si>
  <si>
    <t>Flīžu līstes 2.5 m</t>
  </si>
  <si>
    <t xml:space="preserve">W112 reģipša (2 kārtās) stapsienu uz metāla karkasa ar minerālvates pildījumu izbūve </t>
  </si>
  <si>
    <t>Met.prof.hor.UW 100/30 l=3000</t>
  </si>
  <si>
    <t xml:space="preserve">Amort.lenta 100mm 30m </t>
  </si>
  <si>
    <t>Naglu dībelis 6X50</t>
  </si>
  <si>
    <t>Met.prof.vert.CW 100/50 l=3000</t>
  </si>
  <si>
    <t>Skrūves konstrukcijas LN 3,9*9</t>
  </si>
  <si>
    <t>Reģipša skrūves ar smalko vītni (FSK) 3,5*25</t>
  </si>
  <si>
    <t>Sietlente reģipša šuvēm 48mmx45m</t>
  </si>
  <si>
    <t>Sienu gruntēšana un pilna špaktelēšana</t>
  </si>
  <si>
    <t>Sienu krāsojums 2x</t>
  </si>
  <si>
    <t>Durvis</t>
  </si>
  <si>
    <t>No jauna izgatavoto iekšdurvju bloku uzstādīšana</t>
  </si>
  <si>
    <t>Koka durvju bloks D-5 (stiklots, krāsots) ar aprīkojumu</t>
  </si>
  <si>
    <t>PVC durvju bloks D-9 ar aprīkojumu</t>
  </si>
  <si>
    <t>PVC durvju bloks D-7 ar aprīkojumu</t>
  </si>
  <si>
    <t>Koka durvju bloks D-7* ar aprīkojumu</t>
  </si>
  <si>
    <t>MDF durvju bloks D-9* ar aprīkojumu</t>
  </si>
  <si>
    <t>Kleidu (no abām pusēm), ailu apdaru montāža</t>
  </si>
  <si>
    <t>Kleidu, ailu apdaru komplekts, krāsots</t>
  </si>
  <si>
    <t>Esošo koka durvju atjaunošana, krāsošana</t>
  </si>
  <si>
    <t>Kāpņu montāža</t>
  </si>
  <si>
    <t>Metāla kāpnes ar cinkotiem pakāpieniem un laukumu, ar margām</t>
  </si>
  <si>
    <t>Krāšņu demontāža</t>
  </si>
  <si>
    <t>Starpsienu demontāža</t>
  </si>
  <si>
    <t>Griestu apmetuma demontāža</t>
  </si>
  <si>
    <t>Durvju demontāža</t>
  </si>
  <si>
    <t>Lokālā tāme Nr. 2</t>
  </si>
  <si>
    <t>Kontroles panelis BentelJ 424-8</t>
  </si>
  <si>
    <t>k-ts</t>
  </si>
  <si>
    <t>Raidītājs GSM ar antenu</t>
  </si>
  <si>
    <t>gab</t>
  </si>
  <si>
    <t>Barošanas bloks 12V/2A</t>
  </si>
  <si>
    <t>Akumulators 7Ah12V</t>
  </si>
  <si>
    <t>Dūmu detektors NB 338-2</t>
  </si>
  <si>
    <t>Rokas signāldevējs FP 3RD</t>
  </si>
  <si>
    <t>Zvans AH 0218</t>
  </si>
  <si>
    <t>Sirēna AH 03127BS</t>
  </si>
  <si>
    <t>Siltuma detektors NB 323-2</t>
  </si>
  <si>
    <t>Relejs ar pamatni 24V</t>
  </si>
  <si>
    <t xml:space="preserve">Kārba </t>
  </si>
  <si>
    <t>Kabelis KLM 1x2x0,8</t>
  </si>
  <si>
    <t>Kabelis KLM 2x2x0,8</t>
  </si>
  <si>
    <t>Kabelis EUROSAFE 2x1</t>
  </si>
  <si>
    <t>Kabelis EUROSAFE 3x1,5</t>
  </si>
  <si>
    <t>Gofrēta caurule d20</t>
  </si>
  <si>
    <t>Palīgmateriāli (kab.,stipr.,...)</t>
  </si>
  <si>
    <t xml:space="preserve">Iekārtas regulēšana, programmēšana </t>
  </si>
  <si>
    <t>Lokālā tāme Nr. 3</t>
  </si>
  <si>
    <t>Kontroles panelis MAS 832</t>
  </si>
  <si>
    <t>Vadības pults KM 20B</t>
  </si>
  <si>
    <t>Sirēna SL-150</t>
  </si>
  <si>
    <t>Sirēna MR 300</t>
  </si>
  <si>
    <t>Kustību devējs RXCST</t>
  </si>
  <si>
    <t>Kabelis 8x0,22</t>
  </si>
  <si>
    <t>Kabelis 3x1,5</t>
  </si>
  <si>
    <t>Lokālā tāme Nr. 4</t>
  </si>
  <si>
    <t>Izpildāmo darbu veids</t>
  </si>
  <si>
    <t>Apgaismojuma armatūras montāža</t>
  </si>
  <si>
    <t>Apgaismojuma armatūras montāža balstā</t>
  </si>
  <si>
    <t>Apgaismojuma armatūras demontāža</t>
  </si>
  <si>
    <t>Apgaismojuma balsta montāža</t>
  </si>
  <si>
    <t>Apgaismojuma balsta pamata montāža</t>
  </si>
  <si>
    <t>Automātiskā slēdža montāža</t>
  </si>
  <si>
    <t>Caurumu urbšana sienā instalācijai</t>
  </si>
  <si>
    <t xml:space="preserve">Cauruļu montāža </t>
  </si>
  <si>
    <t>Cauruļu montāža tranšejā</t>
  </si>
  <si>
    <t>Iekārtu, ventilatoru pieslēgšana</t>
  </si>
  <si>
    <t xml:space="preserve">Kabeļa montāža </t>
  </si>
  <si>
    <t>Kabeļa montāža caurulē, kanālā</t>
  </si>
  <si>
    <t>Kabeļa demontāža</t>
  </si>
  <si>
    <t>Kabeļa kanāla montāža</t>
  </si>
  <si>
    <t>Kabeļu gala apdares montāža</t>
  </si>
  <si>
    <t>Kontaktu montāža</t>
  </si>
  <si>
    <t>Kontaktu bloka 3f+1f montāža</t>
  </si>
  <si>
    <t>Neuzskaitītie darbi</t>
  </si>
  <si>
    <t>cilv. st.</t>
  </si>
  <si>
    <t>Nozarkārbu montāža</t>
  </si>
  <si>
    <t>Nozarkārbu savienošana</t>
  </si>
  <si>
    <t>Rievu frēzēšana</t>
  </si>
  <si>
    <t>Rotslēdža montāža</t>
  </si>
  <si>
    <t>Sadales montāža 24 mod. v/a</t>
  </si>
  <si>
    <t>Sadales montāža 48 mod. z/a</t>
  </si>
  <si>
    <t>Slēdžu montāža</t>
  </si>
  <si>
    <t>Tranšejas rakšana un aizbēršana</t>
  </si>
  <si>
    <t>Zibensaizsardzība</t>
  </si>
  <si>
    <t>Stieples montāža</t>
  </si>
  <si>
    <t>Stieples pievienojuma montāža</t>
  </si>
  <si>
    <t>Stieples taisnošana</t>
  </si>
  <si>
    <t>Tranšejas rakšana un aizbēršana zem.kontūram</t>
  </si>
  <si>
    <t xml:space="preserve">Atk.zemējuma ar 3 elektrodiem līdz 5m montāža </t>
  </si>
  <si>
    <t>Zibens novadītāju montāža</t>
  </si>
  <si>
    <t>Zibensuztvērēju montāža</t>
  </si>
  <si>
    <t>Materiāli</t>
  </si>
  <si>
    <t>Apg. armatūra LED iebūv. griestos 5W 230V IP44</t>
  </si>
  <si>
    <t>Apg. armatūra LED iebūv. griestos 5W 230V IP20</t>
  </si>
  <si>
    <t>Apg. armatūra LED iebūv. griestos 10W 230V ar regulējamu leņķi IP20</t>
  </si>
  <si>
    <t>Apg. armatūra plafons pie griestiem IP20</t>
  </si>
  <si>
    <t>Apg. armatūra plafons pie griestiem IP44</t>
  </si>
  <si>
    <t>Apg. armatūra plafons pie sienas IP20</t>
  </si>
  <si>
    <t>Apg. armatūra plafons pie sienas IP44</t>
  </si>
  <si>
    <t>Apg. armatūra ar akumulatoru 1h 1x8w IP20 IZEJA</t>
  </si>
  <si>
    <t>Apg. armatūra virs izlietnes ar kontaktu IP44</t>
  </si>
  <si>
    <t>Apg. armatūra OCP 70B-PC/II LED 41W</t>
  </si>
  <si>
    <t>Apgaismojuma balsts 4,5m</t>
  </si>
  <si>
    <t>Apgaismojuma balsta pamats P-0,8</t>
  </si>
  <si>
    <t>Apgaismojuma balsta blīvgumija</t>
  </si>
  <si>
    <t>Apg. balsta pieslēgspailes ar automātu 6A</t>
  </si>
  <si>
    <t>Automāts B 6A 1-f</t>
  </si>
  <si>
    <t>Automāts B 10A 1-f</t>
  </si>
  <si>
    <t>Automāts B 16A 1-f</t>
  </si>
  <si>
    <t>Automāts B 16A 3-f</t>
  </si>
  <si>
    <t>Automāts noplūdes 2P 16A</t>
  </si>
  <si>
    <t>Automāts noplūdes 4P 16A</t>
  </si>
  <si>
    <t>Automātu savienotāji</t>
  </si>
  <si>
    <t>Caurule cieta plastmasas, dažāda diametra</t>
  </si>
  <si>
    <t>Caurules līkums dažāda diametra</t>
  </si>
  <si>
    <t>Caurules stiprinājumi</t>
  </si>
  <si>
    <t>Caurule zemē guldāma 450N d=50mm</t>
  </si>
  <si>
    <t>Kabelis PPJ 3*1.5</t>
  </si>
  <si>
    <t>Kabelis PPJ 3*2,5</t>
  </si>
  <si>
    <t>Kabelis PPJ 5*2,5</t>
  </si>
  <si>
    <t>Kabelis PPJ 5*4</t>
  </si>
  <si>
    <t>Kabelis PPJ 5*6</t>
  </si>
  <si>
    <t>Kabelis NYY-J 3*2,5</t>
  </si>
  <si>
    <t>Kabelis NYY-J 5*2,5</t>
  </si>
  <si>
    <t>Kabelis NYY-J 5*10</t>
  </si>
  <si>
    <t>Kabeļu kanāls dažādu izmēru</t>
  </si>
  <si>
    <t>Kontakts v/a 1viet. IP44</t>
  </si>
  <si>
    <t>Kontakts z/a 1viet. IP20</t>
  </si>
  <si>
    <t>Kontakts z/a 1viet. IP44</t>
  </si>
  <si>
    <t>Kontaktu bloks 3f+1f IP44</t>
  </si>
  <si>
    <t>Nozarkārba z/a 1viet.</t>
  </si>
  <si>
    <t>Nozarkārba z/a 2viet.</t>
  </si>
  <si>
    <t>Nozarkārba z/a 3viet.</t>
  </si>
  <si>
    <t>Nozarkārba v/a IP40</t>
  </si>
  <si>
    <t>Nozarkārbas vāks</t>
  </si>
  <si>
    <t>Rotslēdzis uz DIN sliedes 25A 400V</t>
  </si>
  <si>
    <t>Rotslēdzis uz DIN sliedes 32A 400V</t>
  </si>
  <si>
    <t>Sadale v/a, 24mod. IP40</t>
  </si>
  <si>
    <t>Sadale z/a, 48mod. IP30</t>
  </si>
  <si>
    <t>Spuldze LED 7W</t>
  </si>
  <si>
    <t>Slēdzis v/a 1P IP44</t>
  </si>
  <si>
    <t>Krustslēdzis z/a 1P IP20</t>
  </si>
  <si>
    <t>Slēdzis z/a 1P IP20</t>
  </si>
  <si>
    <t>Slēdzis z/a 2P IP20</t>
  </si>
  <si>
    <t>Pārslēdzis z/a 1P IP20</t>
  </si>
  <si>
    <t>Slēdzis-poga trauksmes z/a 2P IP20</t>
  </si>
  <si>
    <t>Slēdžu, kontaktu rāmis 1viet.</t>
  </si>
  <si>
    <t>Slēdžu, kontaktu rāmis 2viet.</t>
  </si>
  <si>
    <t>Slēdžu, kontaktu rāmis 3viet.</t>
  </si>
  <si>
    <t>Klemme Ø20mm elektroda un stieples savien.</t>
  </si>
  <si>
    <t>Klemme lietus notekrenei, c. tērauda</t>
  </si>
  <si>
    <t>U klemme uztvērējstieņa un stieples sav., c. tērauda</t>
  </si>
  <si>
    <t>Skava elektroda savien.ar zibensnovadītāju</t>
  </si>
  <si>
    <t>Tērauda apaļstieple RD-8 St/Zn</t>
  </si>
  <si>
    <t>Tērauda stieples turētājs pie sienas</t>
  </si>
  <si>
    <t>Zemējuma elektrods cinkots Z 20 - 2500</t>
  </si>
  <si>
    <t>Zibensuztvērējs 2m ar kronšt.stipr.pie skursteņa</t>
  </si>
  <si>
    <t>Zibensnovadītājs 204KL-500</t>
  </si>
  <si>
    <t>Apaļstieple D=10mm</t>
  </si>
  <si>
    <t>Izpilddokumentācija</t>
  </si>
  <si>
    <t>Dokumentu noformēšana, mērījumi</t>
  </si>
  <si>
    <t>Ūdensapgāde (ārējā un iekšējā)</t>
  </si>
  <si>
    <t>Cauruma veidošana grīdās</t>
  </si>
  <si>
    <t>vietas</t>
  </si>
  <si>
    <t xml:space="preserve">Tranšejas rakšana </t>
  </si>
  <si>
    <t>Pamatnes izveidošana 10 cm blietēšana</t>
  </si>
  <si>
    <t>Caurules PE D40 mont tranšejā</t>
  </si>
  <si>
    <t>Pārejas veidgabali</t>
  </si>
  <si>
    <t>Brīdinājuma lente</t>
  </si>
  <si>
    <t xml:space="preserve">Tranšejas aizbēršana  </t>
  </si>
  <si>
    <t>Akas ierīkošana,aprīkojums (grodi d1000 H 2400)</t>
  </si>
  <si>
    <t>Pievienojums utbumam (adapters u.c)</t>
  </si>
  <si>
    <t>Uzskaites mezgla ierīkošana</t>
  </si>
  <si>
    <t>Virszemes daļas apbērums</t>
  </si>
  <si>
    <t>Daudzslāņu caurule-mont.ar veidgabaliem 32x3</t>
  </si>
  <si>
    <t>Daudzslāņu caurule-mont.ar veidgabaliem 25x2,5</t>
  </si>
  <si>
    <t>Daudzslāņu caurule-mont.ar veidgabaliem 20x2,25</t>
  </si>
  <si>
    <t>Daudzslāņu caurule-mont.ar veidgabaliem 16x2,0</t>
  </si>
  <si>
    <t>Veidgabali caurulēm</t>
  </si>
  <si>
    <t>Cauruļu izolēšana ar lokano izolāc.</t>
  </si>
  <si>
    <t>Atdzelžošanas iekārtas uzstādīšana, apsaiste MG10</t>
  </si>
  <si>
    <t>Spiediena paaugstināšanas kompl uzstādīšana</t>
  </si>
  <si>
    <t>Mehāniskā filtra uzstādīšana Aqua Big 10"</t>
  </si>
  <si>
    <t>Pieslēguma vietu ierīkošana sant ierīcei</t>
  </si>
  <si>
    <t>Jaucējkrānu uzstādīšana sant ierīcei</t>
  </si>
  <si>
    <t>Hidrauliskā pārbaude iekš ūdensapg</t>
  </si>
  <si>
    <t>sist</t>
  </si>
  <si>
    <t>Hidrauliskā pārbaude ār. trasei ūdensapg</t>
  </si>
  <si>
    <r>
      <t>m</t>
    </r>
    <r>
      <rPr>
        <vertAlign val="superscript"/>
        <sz val="9"/>
        <rFont val="Arial"/>
        <family val="2"/>
        <charset val="186"/>
      </rPr>
      <t>3</t>
    </r>
  </si>
  <si>
    <t>Kanalizācija ārējā iekšējā</t>
  </si>
  <si>
    <t>Trases nospraušana spiedvadam</t>
  </si>
  <si>
    <t>Tranšejas rakšana trase, attīrīšani</t>
  </si>
  <si>
    <t>Caurules PE D40 mont tranšejā (spiedvads</t>
  </si>
  <si>
    <t>Attīrišanas iekārtas  (ar sūkni) uzstādīšana</t>
  </si>
  <si>
    <t>Enkurojuma uzstādīšana</t>
  </si>
  <si>
    <t>PVC cauruļu ārdarbiem mont. Tranšejā</t>
  </si>
  <si>
    <t>Tranšejas aizbēršana  ar esošo grunti</t>
  </si>
  <si>
    <t>Sist.hidrauliskā pārbaude</t>
  </si>
  <si>
    <t>Skataku uzstādīšana D400</t>
  </si>
  <si>
    <t>PVC cauruļu ārdarbiem mont. 110</t>
  </si>
  <si>
    <t>PP cauruļu  mont. 110</t>
  </si>
  <si>
    <t>PP cauruļu  mont. 50</t>
  </si>
  <si>
    <t>Izlietne fajansa</t>
  </si>
  <si>
    <t>kmpl.</t>
  </si>
  <si>
    <t>Izlietne fajansa cilv ar īpašām vajadz</t>
  </si>
  <si>
    <t>Sēdpods uzst.(ar skaloj kasti) Cersanit</t>
  </si>
  <si>
    <t>Sēdpods uzst.cilv ar īpašām vajadz</t>
  </si>
  <si>
    <t>Vēdināšanas izvads vilpe</t>
  </si>
  <si>
    <t>Plasmasa traps uzst grīdā</t>
  </si>
  <si>
    <t>Veidgabali</t>
  </si>
  <si>
    <t>Izpilduzmērījumi  ŪK</t>
  </si>
  <si>
    <t>Apkures sistēma</t>
  </si>
  <si>
    <t>Apkures paneļradiators ar AR RLV vārstiem un termost. 11 600x400 uzst.</t>
  </si>
  <si>
    <t>Apkures paneļradiators ar AR RLV vārstiem un termost. 22 500x400 uzst.</t>
  </si>
  <si>
    <t>Apkures paneļradiators ar AR RLV vārstiem un termost. 22 600x1000 uzst.</t>
  </si>
  <si>
    <t>Apkures paneļradiators ar AR RLV vārstiem un termost. 22 600x1400 uzst.</t>
  </si>
  <si>
    <t>Pieslēgums SA</t>
  </si>
  <si>
    <t>Vara caurule-mont.ar veidgabaliem 28x26</t>
  </si>
  <si>
    <t>Vara caurule-mont.ar veidgabaliem 22x20</t>
  </si>
  <si>
    <t>Vara caurule-mont.ar veidgabaliem 18x16</t>
  </si>
  <si>
    <t>Vara caurule-mont.ar veidgabaliem 15x13</t>
  </si>
  <si>
    <t>Lodveida krāns Dn 20</t>
  </si>
  <si>
    <t>Cauruļu stiprinājumi</t>
  </si>
  <si>
    <t>Hidrauliskā pārbaude</t>
  </si>
  <si>
    <t>Apkures katls apsaiste</t>
  </si>
  <si>
    <t>Granulu katls ECO 25 uzst.apsaiste</t>
  </si>
  <si>
    <t>Nerūs tērauda ieliktnis D125</t>
  </si>
  <si>
    <t>Katla dūmvada pieslēggabali D 125</t>
  </si>
  <si>
    <t>Ūdens sildītājs -uz grīdas montējams 200BSV</t>
  </si>
  <si>
    <t>Cirkulācijas sīknis Wilo-uzst Dn25</t>
  </si>
  <si>
    <t>Izplešanās trauks apk 35 l</t>
  </si>
  <si>
    <t>Izplešanās trauks DHW 18 l</t>
  </si>
  <si>
    <t>Sist pildīšanas vārsts</t>
  </si>
  <si>
    <t>Karstā ūd cirkulācijas sūknis-mont pie boilera</t>
  </si>
  <si>
    <t>Trīsgaitas vārsts ar piedziņu Dn 20</t>
  </si>
  <si>
    <t>Caurules,veidgabali armatūra, izolāc.</t>
  </si>
  <si>
    <t>Caurumu veid sienās</t>
  </si>
  <si>
    <t>Ventilācija</t>
  </si>
  <si>
    <t>Sadzīves ventilators iek griestos Decor 100</t>
  </si>
  <si>
    <t>Sadzīves ventilators iek griestos Decor 200</t>
  </si>
  <si>
    <t>Gaisvads cink tērauda -mont zem gr. D-160</t>
  </si>
  <si>
    <t>Gaisvads cink tērauda -mont zem gr. D-125</t>
  </si>
  <si>
    <t>Gaisvads cink tērauda -mont zem gr. D-100</t>
  </si>
  <si>
    <t>Virtuves nosūcējs uzst uz sienas piev.</t>
  </si>
  <si>
    <t>VTK vērsta iestr sienā d160</t>
  </si>
  <si>
    <t>Reste durvīs-iestr</t>
  </si>
  <si>
    <t>Āra resteuzst uz sienas</t>
  </si>
  <si>
    <t>Lokālā tāme Nr. 5</t>
  </si>
  <si>
    <t>Būvdarbi</t>
  </si>
  <si>
    <t>Ugunsdrošības signalizācija</t>
  </si>
  <si>
    <t>Apsardzes signalizācija</t>
  </si>
  <si>
    <t>Elektrapgāde</t>
  </si>
  <si>
    <t>Ūdensapgāde, kanalizācija, apkures sistēma, apkures katls un apsaiste, ventilācija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</si>
</sst>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.00\ _L_s_-;\-* #,##0.00\ _L_s_-;_-* &quot;-&quot;??\ _L_s_-;_-@_-"/>
    <numFmt numFmtId="166" formatCode="_(* #,##0.00_);_(* \(#,##0.00\);_(* \-??_);_(@_)"/>
  </numFmts>
  <fonts count="3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2"/>
      <name val="LaMelior"/>
      <charset val="186"/>
    </font>
    <font>
      <sz val="10"/>
      <name val="Helv"/>
    </font>
    <font>
      <sz val="9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color indexed="8"/>
      <name val="Arial"/>
      <family val="2"/>
      <charset val="186"/>
    </font>
    <font>
      <vertAlign val="superscript"/>
      <sz val="9"/>
      <name val="Arial"/>
      <family val="2"/>
      <charset val="186"/>
    </font>
    <font>
      <sz val="10"/>
      <name val="BiTLat Arial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9" fillId="23" borderId="7" applyNumberFormat="0" applyFont="0" applyAlignment="0" applyProtection="0"/>
    <xf numFmtId="0" fontId="20" fillId="20" borderId="8" applyNumberFormat="0" applyAlignment="0" applyProtection="0"/>
    <xf numFmtId="0" fontId="4" fillId="0" borderId="0"/>
    <xf numFmtId="0" fontId="4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7" fillId="1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6" fillId="0" borderId="0"/>
    <xf numFmtId="0" fontId="26" fillId="0" borderId="0"/>
    <xf numFmtId="0" fontId="25" fillId="0" borderId="0"/>
    <xf numFmtId="0" fontId="19" fillId="0" borderId="0"/>
    <xf numFmtId="0" fontId="24" fillId="0" borderId="0"/>
    <xf numFmtId="166" fontId="19" fillId="0" borderId="0" applyFill="0" applyBorder="0" applyAlignment="0" applyProtection="0"/>
    <xf numFmtId="0" fontId="19" fillId="0" borderId="0"/>
    <xf numFmtId="0" fontId="4" fillId="0" borderId="0"/>
    <xf numFmtId="0" fontId="19" fillId="0" borderId="0"/>
    <xf numFmtId="0" fontId="3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32" fillId="0" borderId="0"/>
    <xf numFmtId="0" fontId="31" fillId="0" borderId="0"/>
    <xf numFmtId="0" fontId="19" fillId="0" borderId="0"/>
    <xf numFmtId="0" fontId="31" fillId="0" borderId="0"/>
    <xf numFmtId="0" fontId="4" fillId="0" borderId="0"/>
    <xf numFmtId="0" fontId="4" fillId="0" borderId="0"/>
    <xf numFmtId="2" fontId="38" fillId="0" borderId="0"/>
  </cellStyleXfs>
  <cellXfs count="168">
    <xf numFmtId="0" fontId="0" fillId="0" borderId="0" xfId="0"/>
    <xf numFmtId="0" fontId="5" fillId="24" borderId="0" xfId="37" applyFont="1" applyFill="1"/>
    <xf numFmtId="0" fontId="5" fillId="24" borderId="0" xfId="37" applyFont="1" applyFill="1" applyBorder="1" applyAlignment="1">
      <alignment horizontal="centerContinuous" vertical="center" wrapText="1"/>
    </xf>
    <xf numFmtId="0" fontId="5" fillId="24" borderId="0" xfId="37" applyFont="1" applyFill="1" applyBorder="1" applyAlignment="1">
      <alignment horizontal="centerContinuous" vertical="center"/>
    </xf>
    <xf numFmtId="0" fontId="5" fillId="24" borderId="0" xfId="37" applyFont="1" applyFill="1" applyBorder="1" applyAlignment="1">
      <alignment vertical="center" wrapText="1"/>
    </xf>
    <xf numFmtId="0" fontId="5" fillId="24" borderId="0" xfId="37" applyFont="1" applyFill="1" applyBorder="1" applyAlignment="1">
      <alignment horizontal="center" vertical="center"/>
    </xf>
    <xf numFmtId="0" fontId="30" fillId="24" borderId="0" xfId="37" applyFont="1" applyFill="1" applyBorder="1" applyAlignment="1">
      <alignment vertical="center"/>
    </xf>
    <xf numFmtId="49" fontId="5" fillId="24" borderId="0" xfId="37" applyNumberFormat="1" applyFont="1" applyFill="1" applyBorder="1" applyAlignment="1">
      <alignment horizontal="center" vertical="center" wrapText="1"/>
    </xf>
    <xf numFmtId="0" fontId="5" fillId="24" borderId="0" xfId="37" applyFont="1" applyFill="1" applyBorder="1" applyAlignment="1">
      <alignment horizontal="left" vertical="center"/>
    </xf>
    <xf numFmtId="2" fontId="30" fillId="24" borderId="0" xfId="37" applyNumberFormat="1" applyFont="1" applyFill="1" applyBorder="1" applyAlignment="1">
      <alignment horizontal="left" vertical="center"/>
    </xf>
    <xf numFmtId="0" fontId="30" fillId="24" borderId="0" xfId="37" applyFont="1" applyFill="1" applyBorder="1" applyAlignment="1">
      <alignment horizontal="centerContinuous" vertical="center"/>
    </xf>
    <xf numFmtId="0" fontId="30" fillId="24" borderId="0" xfId="37" applyFont="1" applyFill="1"/>
    <xf numFmtId="49" fontId="5" fillId="24" borderId="0" xfId="37" applyNumberFormat="1" applyFont="1" applyFill="1"/>
    <xf numFmtId="0" fontId="5" fillId="24" borderId="0" xfId="0" applyFont="1" applyFill="1" applyBorder="1" applyAlignment="1"/>
    <xf numFmtId="0" fontId="5" fillId="24" borderId="0" xfId="0" applyFont="1" applyFill="1" applyBorder="1" applyAlignment="1">
      <alignment horizontal="right"/>
    </xf>
    <xf numFmtId="0" fontId="5" fillId="24" borderId="10" xfId="0" applyFont="1" applyFill="1" applyBorder="1" applyAlignment="1">
      <alignment horizontal="center"/>
    </xf>
    <xf numFmtId="4" fontId="5" fillId="24" borderId="10" xfId="0" applyNumberFormat="1" applyFont="1" applyFill="1" applyBorder="1" applyAlignment="1">
      <alignment horizontal="center"/>
    </xf>
    <xf numFmtId="49" fontId="5" fillId="24" borderId="10" xfId="0" applyNumberFormat="1" applyFont="1" applyFill="1" applyBorder="1" applyAlignment="1">
      <alignment horizontal="center" vertical="top"/>
    </xf>
    <xf numFmtId="2" fontId="5" fillId="24" borderId="10" xfId="0" applyNumberFormat="1" applyFont="1" applyFill="1" applyBorder="1" applyAlignment="1">
      <alignment horizontal="center"/>
    </xf>
    <xf numFmtId="4" fontId="5" fillId="24" borderId="10" xfId="37" applyNumberFormat="1" applyFont="1" applyFill="1" applyBorder="1" applyAlignment="1">
      <alignment horizontal="center"/>
    </xf>
    <xf numFmtId="4" fontId="5" fillId="24" borderId="10" xfId="37" applyNumberFormat="1" applyFont="1" applyFill="1" applyBorder="1"/>
    <xf numFmtId="4" fontId="5" fillId="24" borderId="10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24" borderId="10" xfId="43" applyFont="1" applyFill="1" applyBorder="1" applyAlignment="1">
      <alignment horizontal="center"/>
    </xf>
    <xf numFmtId="4" fontId="5" fillId="24" borderId="10" xfId="39" applyNumberFormat="1" applyFont="1" applyFill="1" applyBorder="1" applyAlignment="1">
      <alignment horizontal="center"/>
    </xf>
    <xf numFmtId="0" fontId="19" fillId="24" borderId="0" xfId="37" applyFont="1" applyFill="1"/>
    <xf numFmtId="49" fontId="19" fillId="24" borderId="0" xfId="37" applyNumberFormat="1" applyFont="1" applyFill="1"/>
    <xf numFmtId="49" fontId="27" fillId="24" borderId="0" xfId="37" applyNumberFormat="1" applyFont="1" applyFill="1" applyBorder="1" applyAlignment="1">
      <alignment horizontal="center" vertical="center"/>
    </xf>
    <xf numFmtId="0" fontId="19" fillId="24" borderId="0" xfId="37" applyFont="1" applyFill="1" applyBorder="1" applyAlignment="1">
      <alignment horizontal="left" vertical="center"/>
    </xf>
    <xf numFmtId="49" fontId="28" fillId="24" borderId="0" xfId="37" applyNumberFormat="1" applyFont="1" applyFill="1" applyBorder="1" applyAlignment="1">
      <alignment horizontal="center" vertical="center" wrapText="1"/>
    </xf>
    <xf numFmtId="0" fontId="19" fillId="24" borderId="0" xfId="37" applyFont="1" applyFill="1" applyBorder="1" applyAlignment="1">
      <alignment horizontal="centerContinuous" vertical="center" wrapText="1"/>
    </xf>
    <xf numFmtId="0" fontId="19" fillId="24" borderId="0" xfId="37" applyFont="1" applyFill="1" applyBorder="1" applyAlignment="1">
      <alignment horizontal="centerContinuous" vertical="center"/>
    </xf>
    <xf numFmtId="0" fontId="19" fillId="24" borderId="0" xfId="37" applyFont="1" applyFill="1" applyBorder="1" applyAlignment="1">
      <alignment vertical="center"/>
    </xf>
    <xf numFmtId="0" fontId="19" fillId="24" borderId="0" xfId="37" applyFont="1" applyFill="1" applyBorder="1" applyAlignment="1">
      <alignment vertical="center" wrapText="1"/>
    </xf>
    <xf numFmtId="0" fontId="19" fillId="24" borderId="0" xfId="37" applyFont="1" applyFill="1" applyBorder="1" applyAlignment="1">
      <alignment horizontal="center" vertical="center"/>
    </xf>
    <xf numFmtId="0" fontId="27" fillId="24" borderId="0" xfId="37" applyFont="1" applyFill="1" applyBorder="1" applyAlignment="1">
      <alignment vertical="center"/>
    </xf>
    <xf numFmtId="49" fontId="19" fillId="24" borderId="0" xfId="37" applyNumberFormat="1" applyFont="1" applyFill="1" applyBorder="1" applyAlignment="1">
      <alignment horizontal="center" vertical="center" wrapText="1"/>
    </xf>
    <xf numFmtId="2" fontId="27" fillId="24" borderId="0" xfId="37" applyNumberFormat="1" applyFont="1" applyFill="1" applyBorder="1" applyAlignment="1">
      <alignment horizontal="left" vertical="center"/>
    </xf>
    <xf numFmtId="0" fontId="29" fillId="24" borderId="0" xfId="0" applyFont="1" applyFill="1" applyBorder="1" applyAlignment="1">
      <alignment horizontal="right" vertical="center" wrapText="1"/>
    </xf>
    <xf numFmtId="4" fontId="29" fillId="24" borderId="0" xfId="0" applyNumberFormat="1" applyFont="1" applyFill="1" applyBorder="1" applyAlignment="1">
      <alignment horizontal="center" vertical="center"/>
    </xf>
    <xf numFmtId="0" fontId="2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>
      <alignment vertical="center"/>
    </xf>
    <xf numFmtId="1" fontId="5" fillId="24" borderId="10" xfId="0" applyNumberFormat="1" applyFont="1" applyFill="1" applyBorder="1" applyAlignment="1">
      <alignment horizontal="center" vertical="top"/>
    </xf>
    <xf numFmtId="4" fontId="5" fillId="24" borderId="10" xfId="38" applyNumberFormat="1" applyFont="1" applyFill="1" applyBorder="1" applyAlignment="1">
      <alignment horizontal="center"/>
    </xf>
    <xf numFmtId="49" fontId="5" fillId="24" borderId="10" xfId="43" applyNumberFormat="1" applyFont="1" applyFill="1" applyBorder="1" applyAlignment="1">
      <alignment horizontal="center" vertical="top"/>
    </xf>
    <xf numFmtId="4" fontId="5" fillId="24" borderId="10" xfId="43" applyNumberFormat="1" applyFont="1" applyFill="1" applyBorder="1" applyAlignment="1">
      <alignment horizontal="center"/>
    </xf>
    <xf numFmtId="0" fontId="5" fillId="24" borderId="10" xfId="43" applyNumberFormat="1" applyFont="1" applyFill="1" applyBorder="1" applyAlignment="1">
      <alignment horizontal="right"/>
    </xf>
    <xf numFmtId="4" fontId="5" fillId="24" borderId="10" xfId="43" applyNumberFormat="1" applyFont="1" applyFill="1" applyBorder="1"/>
    <xf numFmtId="0" fontId="5" fillId="24" borderId="10" xfId="43" applyNumberFormat="1" applyFont="1" applyFill="1" applyBorder="1" applyAlignment="1">
      <alignment horizontal="right" vertical="justify"/>
    </xf>
    <xf numFmtId="49" fontId="33" fillId="24" borderId="10" xfId="43" applyNumberFormat="1" applyFont="1" applyFill="1" applyBorder="1" applyAlignment="1">
      <alignment horizontal="center" vertical="top"/>
    </xf>
    <xf numFmtId="0" fontId="33" fillId="24" borderId="10" xfId="43" applyNumberFormat="1" applyFont="1" applyFill="1" applyBorder="1" applyAlignment="1">
      <alignment horizontal="right" vertical="justify"/>
    </xf>
    <xf numFmtId="0" fontId="33" fillId="24" borderId="10" xfId="43" applyFont="1" applyFill="1" applyBorder="1" applyAlignment="1">
      <alignment horizontal="center"/>
    </xf>
    <xf numFmtId="4" fontId="33" fillId="24" borderId="10" xfId="39" applyNumberFormat="1" applyFont="1" applyFill="1" applyBorder="1" applyAlignment="1">
      <alignment horizontal="center"/>
    </xf>
    <xf numFmtId="0" fontId="5" fillId="24" borderId="10" xfId="0" applyNumberFormat="1" applyFont="1" applyFill="1" applyBorder="1" applyAlignment="1">
      <alignment horizontal="right" wrapText="1"/>
    </xf>
    <xf numFmtId="0" fontId="5" fillId="24" borderId="10" xfId="43" applyFont="1" applyFill="1" applyBorder="1" applyAlignment="1">
      <alignment horizontal="center" vertical="top"/>
    </xf>
    <xf numFmtId="4" fontId="5" fillId="24" borderId="10" xfId="43" applyNumberFormat="1" applyFont="1" applyFill="1" applyBorder="1" applyAlignment="1">
      <alignment horizontal="center" vertical="top"/>
    </xf>
    <xf numFmtId="4" fontId="5" fillId="24" borderId="10" xfId="0" applyNumberFormat="1" applyFont="1" applyFill="1" applyBorder="1" applyAlignment="1">
      <alignment horizontal="center" vertical="top"/>
    </xf>
    <xf numFmtId="0" fontId="5" fillId="24" borderId="10" xfId="43" applyNumberFormat="1" applyFont="1" applyFill="1" applyBorder="1" applyAlignment="1">
      <alignment horizontal="right" wrapText="1"/>
    </xf>
    <xf numFmtId="4" fontId="5" fillId="24" borderId="10" xfId="43" applyNumberFormat="1" applyFont="1" applyFill="1" applyBorder="1" applyAlignment="1"/>
    <xf numFmtId="0" fontId="5" fillId="24" borderId="10" xfId="0" applyFont="1" applyFill="1" applyBorder="1" applyAlignment="1">
      <alignment horizontal="center" vertical="top"/>
    </xf>
    <xf numFmtId="0" fontId="5" fillId="24" borderId="10" xfId="0" applyNumberFormat="1" applyFont="1" applyFill="1" applyBorder="1" applyAlignment="1">
      <alignment horizontal="right" vertical="justify"/>
    </xf>
    <xf numFmtId="0" fontId="5" fillId="24" borderId="10" xfId="0" applyNumberFormat="1" applyFont="1" applyFill="1" applyBorder="1" applyAlignment="1">
      <alignment horizontal="right"/>
    </xf>
    <xf numFmtId="0" fontId="5" fillId="24" borderId="10" xfId="0" applyFont="1" applyFill="1" applyBorder="1" applyAlignment="1">
      <alignment horizontal="right" vertical="justify"/>
    </xf>
    <xf numFmtId="0" fontId="5" fillId="24" borderId="10" xfId="0" applyFont="1" applyFill="1" applyBorder="1" applyAlignment="1">
      <alignment horizontal="right"/>
    </xf>
    <xf numFmtId="0" fontId="5" fillId="24" borderId="10" xfId="0" applyFont="1" applyFill="1" applyBorder="1" applyAlignment="1">
      <alignment horizontal="right" vertical="center"/>
    </xf>
    <xf numFmtId="0" fontId="5" fillId="24" borderId="10" xfId="0" applyFont="1" applyFill="1" applyBorder="1" applyAlignment="1">
      <alignment horizontal="right" vertical="center" wrapText="1"/>
    </xf>
    <xf numFmtId="0" fontId="5" fillId="24" borderId="10" xfId="0" applyFont="1" applyFill="1" applyBorder="1" applyAlignment="1">
      <alignment horizontal="right" wrapText="1"/>
    </xf>
    <xf numFmtId="4" fontId="5" fillId="24" borderId="10" xfId="93" applyNumberFormat="1" applyFont="1" applyFill="1" applyBorder="1" applyAlignment="1">
      <alignment horizontal="center"/>
    </xf>
    <xf numFmtId="2" fontId="5" fillId="24" borderId="10" xfId="89" applyNumberFormat="1" applyFont="1" applyFill="1" applyBorder="1" applyAlignment="1">
      <alignment horizontal="center"/>
    </xf>
    <xf numFmtId="2" fontId="5" fillId="24" borderId="10" xfId="91" applyNumberFormat="1" applyFont="1" applyFill="1" applyBorder="1" applyAlignment="1">
      <alignment horizontal="center"/>
    </xf>
    <xf numFmtId="0" fontId="5" fillId="24" borderId="10" xfId="43" applyFont="1" applyFill="1" applyBorder="1" applyAlignment="1">
      <alignment horizontal="right"/>
    </xf>
    <xf numFmtId="0" fontId="5" fillId="24" borderId="10" xfId="0" applyNumberFormat="1" applyFont="1" applyFill="1" applyBorder="1" applyAlignment="1">
      <alignment vertical="justify"/>
    </xf>
    <xf numFmtId="49" fontId="5" fillId="24" borderId="10" xfId="0" applyNumberFormat="1" applyFont="1" applyFill="1" applyBorder="1" applyAlignment="1">
      <alignment horizontal="center" vertical="top" wrapText="1"/>
    </xf>
    <xf numFmtId="0" fontId="5" fillId="24" borderId="10" xfId="38" applyFont="1" applyFill="1" applyBorder="1" applyAlignment="1">
      <alignment horizontal="center" vertical="top"/>
    </xf>
    <xf numFmtId="49" fontId="30" fillId="24" borderId="10" xfId="37" applyNumberFormat="1" applyFont="1" applyFill="1" applyBorder="1" applyAlignment="1">
      <alignment horizontal="center" vertical="top" textRotation="90" wrapText="1"/>
    </xf>
    <xf numFmtId="0" fontId="5" fillId="24" borderId="10" xfId="0" applyFont="1" applyFill="1" applyBorder="1" applyAlignment="1">
      <alignment vertical="justify"/>
    </xf>
    <xf numFmtId="0" fontId="5" fillId="24" borderId="10" xfId="0" applyNumberFormat="1" applyFont="1" applyFill="1" applyBorder="1" applyAlignment="1">
      <alignment horizontal="center"/>
    </xf>
    <xf numFmtId="4" fontId="5" fillId="24" borderId="10" xfId="92" applyNumberFormat="1" applyFont="1" applyFill="1" applyBorder="1" applyAlignment="1">
      <alignment horizontal="center"/>
    </xf>
    <xf numFmtId="0" fontId="5" fillId="24" borderId="10" xfId="43" applyNumberFormat="1" applyFont="1" applyFill="1" applyBorder="1" applyAlignment="1">
      <alignment vertical="justify"/>
    </xf>
    <xf numFmtId="0" fontId="5" fillId="24" borderId="10" xfId="43" applyNumberFormat="1" applyFont="1" applyFill="1" applyBorder="1" applyAlignment="1">
      <alignment wrapText="1"/>
    </xf>
    <xf numFmtId="0" fontId="5" fillId="24" borderId="10" xfId="0" applyNumberFormat="1" applyFont="1" applyFill="1" applyBorder="1" applyAlignment="1"/>
    <xf numFmtId="4" fontId="5" fillId="24" borderId="10" xfId="75" applyNumberFormat="1" applyFont="1" applyFill="1" applyBorder="1" applyAlignment="1">
      <alignment horizontal="center"/>
    </xf>
    <xf numFmtId="0" fontId="5" fillId="24" borderId="10" xfId="43" applyFont="1" applyFill="1" applyBorder="1" applyAlignment="1">
      <alignment horizontal="justify"/>
    </xf>
    <xf numFmtId="0" fontId="5" fillId="24" borderId="10" xfId="0" applyFont="1" applyFill="1" applyBorder="1" applyAlignment="1">
      <alignment horizontal="justify"/>
    </xf>
    <xf numFmtId="0" fontId="5" fillId="24" borderId="10" xfId="0" applyNumberFormat="1" applyFont="1" applyFill="1" applyBorder="1" applyAlignment="1">
      <alignment wrapText="1"/>
    </xf>
    <xf numFmtId="0" fontId="5" fillId="24" borderId="10" xfId="90" applyFont="1" applyFill="1" applyBorder="1" applyAlignment="1">
      <alignment horizontal="center"/>
    </xf>
    <xf numFmtId="49" fontId="5" fillId="24" borderId="10" xfId="0" applyNumberFormat="1" applyFont="1" applyFill="1" applyBorder="1" applyAlignment="1">
      <alignment wrapText="1"/>
    </xf>
    <xf numFmtId="0" fontId="5" fillId="24" borderId="10" xfId="0" applyFont="1" applyFill="1" applyBorder="1"/>
    <xf numFmtId="0" fontId="5" fillId="24" borderId="10" xfId="0" applyFont="1" applyFill="1" applyBorder="1" applyAlignment="1">
      <alignment horizontal="left" wrapText="1"/>
    </xf>
    <xf numFmtId="0" fontId="5" fillId="24" borderId="10" xfId="0" applyFont="1" applyFill="1" applyBorder="1" applyAlignment="1">
      <alignment horizontal="left" vertical="center" wrapText="1"/>
    </xf>
    <xf numFmtId="0" fontId="5" fillId="24" borderId="10" xfId="75" applyNumberFormat="1" applyFont="1" applyFill="1" applyBorder="1" applyAlignment="1">
      <alignment wrapText="1"/>
    </xf>
    <xf numFmtId="0" fontId="5" fillId="24" borderId="10" xfId="75" applyNumberFormat="1" applyFont="1" applyFill="1" applyBorder="1" applyAlignment="1"/>
    <xf numFmtId="0" fontId="5" fillId="24" borderId="10" xfId="0" applyFont="1" applyFill="1" applyBorder="1" applyAlignment="1">
      <alignment wrapText="1"/>
    </xf>
    <xf numFmtId="2" fontId="5" fillId="24" borderId="10" xfId="43" applyNumberFormat="1" applyFont="1" applyFill="1" applyBorder="1" applyAlignment="1">
      <alignment horizontal="center"/>
    </xf>
    <xf numFmtId="2" fontId="5" fillId="24" borderId="10" xfId="38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center"/>
    </xf>
    <xf numFmtId="0" fontId="27" fillId="24" borderId="0" xfId="37" applyFont="1" applyFill="1" applyBorder="1" applyAlignment="1">
      <alignment horizontal="center" vertical="center"/>
    </xf>
    <xf numFmtId="0" fontId="30" fillId="24" borderId="10" xfId="37" applyFont="1" applyFill="1" applyBorder="1" applyAlignment="1">
      <alignment horizontal="center" vertical="center" textRotation="90" wrapText="1"/>
    </xf>
    <xf numFmtId="0" fontId="30" fillId="24" borderId="10" xfId="37" applyFont="1" applyFill="1" applyBorder="1" applyAlignment="1">
      <alignment horizontal="center" vertical="center" textRotation="90"/>
    </xf>
    <xf numFmtId="0" fontId="5" fillId="24" borderId="10" xfId="37" applyFont="1" applyFill="1" applyBorder="1" applyAlignment="1">
      <alignment textRotation="90"/>
    </xf>
    <xf numFmtId="0" fontId="30" fillId="24" borderId="10" xfId="37" applyFont="1" applyFill="1" applyBorder="1" applyAlignment="1">
      <alignment horizontal="center" vertical="center" wrapText="1"/>
    </xf>
    <xf numFmtId="0" fontId="5" fillId="24" borderId="10" xfId="43" applyFont="1" applyFill="1" applyBorder="1" applyAlignment="1">
      <alignment horizontal="left"/>
    </xf>
    <xf numFmtId="0" fontId="5" fillId="24" borderId="10" xfId="43" applyFont="1" applyFill="1" applyBorder="1" applyAlignment="1">
      <alignment horizontal="right" vertical="top"/>
    </xf>
    <xf numFmtId="0" fontId="5" fillId="24" borderId="10" xfId="43" applyNumberFormat="1" applyFont="1" applyFill="1" applyBorder="1" applyAlignment="1"/>
    <xf numFmtId="2" fontId="5" fillId="24" borderId="10" xfId="75" applyNumberFormat="1" applyFont="1" applyFill="1" applyBorder="1" applyAlignment="1">
      <alignment horizontal="center"/>
    </xf>
    <xf numFmtId="2" fontId="5" fillId="24" borderId="10" xfId="37" applyNumberFormat="1" applyFont="1" applyFill="1" applyBorder="1" applyAlignment="1">
      <alignment horizontal="center"/>
    </xf>
    <xf numFmtId="49" fontId="5" fillId="24" borderId="11" xfId="43" applyNumberFormat="1" applyFont="1" applyFill="1" applyBorder="1" applyAlignment="1">
      <alignment horizontal="center" vertical="top"/>
    </xf>
    <xf numFmtId="0" fontId="5" fillId="24" borderId="11" xfId="43" applyNumberFormat="1" applyFont="1" applyFill="1" applyBorder="1" applyAlignment="1">
      <alignment horizontal="right"/>
    </xf>
    <xf numFmtId="0" fontId="5" fillId="24" borderId="11" xfId="43" applyFont="1" applyFill="1" applyBorder="1" applyAlignment="1">
      <alignment horizontal="center"/>
    </xf>
    <xf numFmtId="2" fontId="5" fillId="24" borderId="11" xfId="43" applyNumberFormat="1" applyFont="1" applyFill="1" applyBorder="1" applyAlignment="1">
      <alignment horizontal="center"/>
    </xf>
    <xf numFmtId="4" fontId="5" fillId="24" borderId="11" xfId="0" applyNumberFormat="1" applyFont="1" applyFill="1" applyBorder="1" applyAlignment="1">
      <alignment horizontal="center"/>
    </xf>
    <xf numFmtId="2" fontId="5" fillId="24" borderId="11" xfId="37" applyNumberFormat="1" applyFont="1" applyFill="1" applyBorder="1" applyAlignment="1">
      <alignment horizontal="center"/>
    </xf>
    <xf numFmtId="4" fontId="5" fillId="24" borderId="11" xfId="43" applyNumberFormat="1" applyFont="1" applyFill="1" applyBorder="1" applyAlignment="1">
      <alignment horizontal="center"/>
    </xf>
    <xf numFmtId="0" fontId="5" fillId="24" borderId="10" xfId="43" applyFont="1" applyFill="1" applyBorder="1" applyAlignment="1">
      <alignment horizontal="right" vertical="justify"/>
    </xf>
    <xf numFmtId="49" fontId="5" fillId="24" borderId="10" xfId="0" applyNumberFormat="1" applyFont="1" applyFill="1" applyBorder="1" applyAlignment="1">
      <alignment horizontal="center" vertical="justify"/>
    </xf>
    <xf numFmtId="0" fontId="5" fillId="24" borderId="10" xfId="43" applyFont="1" applyFill="1" applyBorder="1" applyAlignment="1"/>
    <xf numFmtId="49" fontId="5" fillId="24" borderId="10" xfId="38" applyNumberFormat="1" applyFont="1" applyFill="1" applyBorder="1" applyAlignment="1">
      <alignment horizontal="center"/>
    </xf>
    <xf numFmtId="0" fontId="5" fillId="24" borderId="10" xfId="0" applyFont="1" applyFill="1" applyBorder="1" applyAlignment="1">
      <alignment horizontal="center" vertical="center"/>
    </xf>
    <xf numFmtId="0" fontId="5" fillId="24" borderId="10" xfId="43" applyNumberFormat="1" applyFont="1" applyFill="1" applyBorder="1" applyAlignment="1">
      <alignment horizontal="right" vertical="top"/>
    </xf>
    <xf numFmtId="0" fontId="5" fillId="24" borderId="10" xfId="43" applyFont="1" applyFill="1" applyBorder="1" applyAlignment="1">
      <alignment horizontal="center" vertical="center"/>
    </xf>
    <xf numFmtId="0" fontId="5" fillId="24" borderId="10" xfId="43" applyFont="1" applyFill="1" applyBorder="1" applyAlignment="1">
      <alignment vertical="top"/>
    </xf>
    <xf numFmtId="0" fontId="5" fillId="24" borderId="10" xfId="0" applyFont="1" applyFill="1" applyBorder="1" applyAlignment="1">
      <alignment horizontal="center" vertical="center" wrapText="1"/>
    </xf>
    <xf numFmtId="0" fontId="5" fillId="24" borderId="10" xfId="38" applyFont="1" applyFill="1" applyBorder="1"/>
    <xf numFmtId="0" fontId="36" fillId="24" borderId="10" xfId="0" applyNumberFormat="1" applyFont="1" applyFill="1" applyBorder="1" applyAlignment="1">
      <alignment horizontal="right" vertical="justify"/>
    </xf>
    <xf numFmtId="0" fontId="36" fillId="24" borderId="10" xfId="0" applyFont="1" applyFill="1" applyBorder="1" applyAlignment="1">
      <alignment horizontal="center"/>
    </xf>
    <xf numFmtId="0" fontId="5" fillId="24" borderId="10" xfId="43" applyFont="1" applyFill="1" applyBorder="1" applyAlignment="1">
      <alignment vertical="justify"/>
    </xf>
    <xf numFmtId="0" fontId="5" fillId="24" borderId="10" xfId="43" applyFont="1" applyFill="1" applyBorder="1" applyAlignment="1">
      <alignment horizontal="right" wrapText="1"/>
    </xf>
    <xf numFmtId="49" fontId="5" fillId="24" borderId="11" xfId="0" applyNumberFormat="1" applyFont="1" applyFill="1" applyBorder="1" applyAlignment="1">
      <alignment horizontal="center" vertical="top"/>
    </xf>
    <xf numFmtId="0" fontId="30" fillId="24" borderId="11" xfId="37" applyFont="1" applyFill="1" applyBorder="1" applyAlignment="1">
      <alignment horizontal="center" vertical="center" wrapText="1"/>
    </xf>
    <xf numFmtId="0" fontId="5" fillId="24" borderId="11" xfId="0" applyNumberFormat="1" applyFont="1" applyFill="1" applyBorder="1" applyAlignment="1">
      <alignment horizontal="center"/>
    </xf>
    <xf numFmtId="0" fontId="5" fillId="24" borderId="10" xfId="0" applyNumberFormat="1" applyFont="1" applyFill="1" applyBorder="1" applyAlignment="1">
      <alignment horizontal="right" vertical="justify" wrapText="1"/>
    </xf>
    <xf numFmtId="2" fontId="5" fillId="24" borderId="10" xfId="39" applyNumberFormat="1" applyFont="1" applyFill="1" applyBorder="1" applyAlignment="1">
      <alignment horizontal="center"/>
    </xf>
    <xf numFmtId="49" fontId="5" fillId="24" borderId="10" xfId="43" applyNumberFormat="1" applyFont="1" applyFill="1" applyBorder="1" applyAlignment="1">
      <alignment horizontal="center"/>
    </xf>
    <xf numFmtId="49" fontId="36" fillId="24" borderId="10" xfId="38" applyNumberFormat="1" applyFont="1" applyFill="1" applyBorder="1" applyAlignment="1">
      <alignment horizontal="center" vertical="justify"/>
    </xf>
    <xf numFmtId="4" fontId="36" fillId="24" borderId="10" xfId="75" applyNumberFormat="1" applyFont="1" applyFill="1" applyBorder="1" applyAlignment="1">
      <alignment horizontal="center"/>
    </xf>
    <xf numFmtId="0" fontId="5" fillId="24" borderId="10" xfId="38" applyFont="1" applyFill="1" applyBorder="1" applyAlignment="1">
      <alignment horizontal="center"/>
    </xf>
    <xf numFmtId="0" fontId="5" fillId="24" borderId="10" xfId="0" applyFont="1" applyFill="1" applyBorder="1" applyAlignment="1">
      <alignment horizontal="center" vertical="justify"/>
    </xf>
    <xf numFmtId="0" fontId="19" fillId="0" borderId="0" xfId="0" applyFont="1" applyFill="1" applyBorder="1" applyAlignment="1">
      <alignment horizontal="left" vertical="center"/>
    </xf>
    <xf numFmtId="0" fontId="27" fillId="24" borderId="0" xfId="37" applyFont="1" applyFill="1" applyBorder="1" applyAlignment="1">
      <alignment horizontal="center" vertical="center"/>
    </xf>
    <xf numFmtId="0" fontId="30" fillId="24" borderId="10" xfId="37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left" vertical="center"/>
    </xf>
    <xf numFmtId="0" fontId="30" fillId="24" borderId="10" xfId="37" applyFont="1" applyFill="1" applyBorder="1" applyAlignment="1">
      <alignment horizontal="center" vertical="center" textRotation="90" wrapText="1"/>
    </xf>
    <xf numFmtId="0" fontId="27" fillId="24" borderId="0" xfId="37" applyFont="1" applyFill="1" applyBorder="1" applyAlignment="1">
      <alignment horizontal="center" vertical="center"/>
    </xf>
    <xf numFmtId="0" fontId="30" fillId="24" borderId="10" xfId="0" applyNumberFormat="1" applyFont="1" applyFill="1" applyBorder="1" applyAlignment="1">
      <alignment horizontal="center" vertical="justify"/>
    </xf>
    <xf numFmtId="0" fontId="5" fillId="0" borderId="10" xfId="0" applyNumberFormat="1" applyFont="1" applyFill="1" applyBorder="1" applyAlignment="1">
      <alignment horizontal="center" vertical="top" wrapText="1"/>
    </xf>
    <xf numFmtId="2" fontId="5" fillId="0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 wrapText="1"/>
    </xf>
    <xf numFmtId="49" fontId="5" fillId="0" borderId="10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5" fillId="0" borderId="10" xfId="56" applyFont="1" applyBorder="1" applyAlignment="1">
      <alignment horizontal="center"/>
    </xf>
    <xf numFmtId="1" fontId="5" fillId="0" borderId="10" xfId="0" applyNumberFormat="1" applyFont="1" applyFill="1" applyBorder="1" applyAlignment="1">
      <alignment horizontal="center" wrapText="1"/>
    </xf>
    <xf numFmtId="2" fontId="33" fillId="24" borderId="10" xfId="0" applyNumberFormat="1" applyFont="1" applyFill="1" applyBorder="1" applyAlignment="1">
      <alignment horizontal="right" vertical="center" wrapText="1"/>
    </xf>
    <xf numFmtId="2" fontId="33" fillId="24" borderId="10" xfId="0" applyNumberFormat="1" applyFont="1" applyFill="1" applyBorder="1" applyAlignment="1">
      <alignment vertical="center" wrapText="1"/>
    </xf>
    <xf numFmtId="2" fontId="5" fillId="24" borderId="10" xfId="0" applyNumberFormat="1" applyFont="1" applyFill="1" applyBorder="1" applyAlignment="1">
      <alignment vertical="center"/>
    </xf>
    <xf numFmtId="1" fontId="5" fillId="0" borderId="10" xfId="94" applyNumberFormat="1" applyFont="1" applyBorder="1" applyAlignment="1">
      <alignment horizontal="center"/>
    </xf>
    <xf numFmtId="0" fontId="30" fillId="24" borderId="10" xfId="0" applyFont="1" applyFill="1" applyBorder="1" applyAlignment="1">
      <alignment horizontal="center" vertical="top" wrapText="1"/>
    </xf>
    <xf numFmtId="0" fontId="30" fillId="24" borderId="10" xfId="0" applyFont="1" applyFill="1" applyBorder="1" applyAlignment="1">
      <alignment horizontal="center" vertical="center" wrapText="1"/>
    </xf>
    <xf numFmtId="0" fontId="27" fillId="24" borderId="0" xfId="37" applyFont="1" applyFill="1" applyBorder="1" applyAlignment="1">
      <alignment horizontal="center" vertical="center"/>
    </xf>
    <xf numFmtId="0" fontId="30" fillId="24" borderId="10" xfId="37" applyFont="1" applyFill="1" applyBorder="1" applyAlignment="1">
      <alignment horizontal="center" vertical="center"/>
    </xf>
    <xf numFmtId="4" fontId="27" fillId="24" borderId="0" xfId="37" applyNumberFormat="1" applyFont="1" applyFill="1" applyBorder="1" applyAlignment="1">
      <alignment horizontal="left" vertical="center"/>
    </xf>
    <xf numFmtId="0" fontId="19" fillId="24" borderId="0" xfId="37" applyFont="1" applyFill="1" applyBorder="1" applyAlignment="1">
      <alignment horizontal="right" vertical="center"/>
    </xf>
    <xf numFmtId="0" fontId="5" fillId="24" borderId="10" xfId="37" applyFont="1" applyFill="1" applyBorder="1" applyAlignment="1">
      <alignment horizontal="right"/>
    </xf>
    <xf numFmtId="0" fontId="30" fillId="24" borderId="10" xfId="37" applyFont="1" applyFill="1" applyBorder="1" applyAlignment="1">
      <alignment horizontal="center" vertical="center" textRotation="90" wrapText="1"/>
    </xf>
    <xf numFmtId="49" fontId="30" fillId="24" borderId="10" xfId="37" applyNumberFormat="1" applyFont="1" applyFill="1" applyBorder="1" applyAlignment="1">
      <alignment horizontal="center" vertical="center" textRotation="90" wrapText="1"/>
    </xf>
    <xf numFmtId="0" fontId="30" fillId="24" borderId="10" xfId="37" applyFont="1" applyFill="1" applyBorder="1" applyAlignment="1">
      <alignment horizontal="center" vertical="center" textRotation="90"/>
    </xf>
    <xf numFmtId="0" fontId="5" fillId="24" borderId="10" xfId="37" applyFont="1" applyFill="1" applyBorder="1" applyAlignment="1">
      <alignment textRotation="90"/>
    </xf>
    <xf numFmtId="0" fontId="30" fillId="24" borderId="10" xfId="37" applyFont="1" applyFill="1" applyBorder="1" applyAlignment="1">
      <alignment horizontal="center" vertical="center" wrapText="1"/>
    </xf>
  </cellXfs>
  <cellStyles count="95">
    <cellStyle name="1. izcēlums" xfId="48"/>
    <cellStyle name="2. izcēlums" xfId="20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no 1. izcēluma 2" xfId="76"/>
    <cellStyle name="20% no 2. izcēluma 2" xfId="77"/>
    <cellStyle name="20% no 3. izcēluma 2" xfId="78"/>
    <cellStyle name="20% no 4. izcēluma 2" xfId="79"/>
    <cellStyle name="20% no 5. izcēluma 2" xfId="80"/>
    <cellStyle name="20% no 6. izcēluma 2" xfId="81"/>
    <cellStyle name="3. izcēlums " xfId="21"/>
    <cellStyle name="4. izcēlums" xfId="22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40% no 1. izcēluma 2" xfId="82"/>
    <cellStyle name="40% no 2. izcēluma 2" xfId="83"/>
    <cellStyle name="40% no 3. izcēluma 2" xfId="84"/>
    <cellStyle name="40% no 4. izcēluma 2" xfId="85"/>
    <cellStyle name="40% no 5. izcēluma 2" xfId="86"/>
    <cellStyle name="40% no 6. izcēluma 2" xfId="87"/>
    <cellStyle name="5. izcēlums" xfId="23"/>
    <cellStyle name="6. izcēlums" xfId="2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prēķināšana" xfId="26"/>
    <cellStyle name="Bad" xfId="25" builtinId="27" customBuiltin="1"/>
    <cellStyle name="Brīdinājuma teksts" xfId="46"/>
    <cellStyle name="Check Cell" xfId="27" builtinId="23" customBuiltin="1"/>
    <cellStyle name="Comma 10" xfId="49"/>
    <cellStyle name="Comma 2" xfId="50"/>
    <cellStyle name="Comma 2 2" xfId="51"/>
    <cellStyle name="Comma 3" xfId="52"/>
    <cellStyle name="Comma 4" xfId="53"/>
    <cellStyle name="Comma 4 2" xfId="54"/>
    <cellStyle name="Comma 6" xfId="55"/>
    <cellStyle name="Excel Built-in Normal" xfId="88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evade" xfId="34"/>
    <cellStyle name="Izvade" xfId="41"/>
    <cellStyle name="Kopsumma" xfId="45"/>
    <cellStyle name="Linked Cell" xfId="35" builtinId="24" customBuiltin="1"/>
    <cellStyle name="Neitrāls" xfId="36"/>
    <cellStyle name="Normal" xfId="0" builtinId="0"/>
    <cellStyle name="Normal 10" xfId="69"/>
    <cellStyle name="Normal 2" xfId="56"/>
    <cellStyle name="Normal 2 2" xfId="57"/>
    <cellStyle name="Normal 2 3" xfId="58"/>
    <cellStyle name="Normal 2_Daugmale_2008_7_Veicamie darbi" xfId="59"/>
    <cellStyle name="Normal 3" xfId="60"/>
    <cellStyle name="Normal 3 2 2" xfId="89"/>
    <cellStyle name="Normal 4" xfId="61"/>
    <cellStyle name="Normal 5" xfId="62"/>
    <cellStyle name="Normal 6" xfId="63"/>
    <cellStyle name="Normal 6 2" xfId="64"/>
    <cellStyle name="Normal 7" xfId="65"/>
    <cellStyle name="Normal 7 2" xfId="66"/>
    <cellStyle name="Normal 8" xfId="67"/>
    <cellStyle name="Normal 8 2" xfId="68"/>
    <cellStyle name="Normal 9" xfId="47"/>
    <cellStyle name="Normal_bruģis" xfId="92"/>
    <cellStyle name="Normal_CMD Lapmežciema TN foajē" xfId="75"/>
    <cellStyle name="Normal_Copy of SpecenesAV 3" xfId="91"/>
    <cellStyle name="Normal_Mat.spec." xfId="94"/>
    <cellStyle name="Normal_Māja Nr. 138, Nogale, Talsu raj., dzīvojamās mājas rekonstrukcija 2" xfId="90"/>
    <cellStyle name="Normal_tame,  PII Papardīte fasādes siltinšana" xfId="93"/>
    <cellStyle name="Normal_tāme roja DABASZINĪBAS JF" xfId="37"/>
    <cellStyle name="Normal_tāme TĒRVETE (jaunā forma)" xfId="38"/>
    <cellStyle name="Normal_Upesgrīva toča" xfId="39"/>
    <cellStyle name="Nosaukums" xfId="44"/>
    <cellStyle name="Note" xfId="40" builtinId="10" customBuiltin="1"/>
    <cellStyle name="Parasts 2" xfId="73"/>
    <cellStyle name="Parasts 3" xfId="74"/>
    <cellStyle name="Stils 1" xfId="42"/>
    <cellStyle name="Style 1" xfId="43"/>
    <cellStyle name="Обычный_Pielikums_2_TAMESFORMA" xfId="71"/>
    <cellStyle name="Стиль 1" xfId="72"/>
    <cellStyle name="Финансовый_Лист1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0"/>
  <sheetViews>
    <sheetView showZeros="0" zoomScale="92" workbookViewId="0">
      <selection activeCell="F13" sqref="F13:K13"/>
    </sheetView>
  </sheetViews>
  <sheetFormatPr defaultRowHeight="12"/>
  <cols>
    <col min="1" max="1" width="4.140625" style="1" customWidth="1"/>
    <col min="2" max="2" width="9" style="12" customWidth="1"/>
    <col min="3" max="3" width="30.140625" style="1" customWidth="1"/>
    <col min="4" max="4" width="6.140625" style="1" bestFit="1" customWidth="1"/>
    <col min="5" max="5" width="9.7109375" style="1" bestFit="1" customWidth="1"/>
    <col min="6" max="6" width="6" style="1" customWidth="1"/>
    <col min="7" max="7" width="8" style="1" customWidth="1"/>
    <col min="8" max="8" width="6.7109375" style="1" bestFit="1" customWidth="1"/>
    <col min="9" max="9" width="8.28515625" style="1" bestFit="1" customWidth="1"/>
    <col min="10" max="10" width="6.7109375" style="1" bestFit="1" customWidth="1"/>
    <col min="11" max="11" width="7.85546875" style="1" bestFit="1" customWidth="1"/>
    <col min="12" max="12" width="8.28515625" style="1" customWidth="1"/>
    <col min="13" max="13" width="9.85546875" style="1" customWidth="1"/>
    <col min="14" max="14" width="9.7109375" style="1" bestFit="1" customWidth="1"/>
    <col min="15" max="15" width="8.7109375" style="1" bestFit="1" customWidth="1"/>
    <col min="16" max="16" width="10.140625" style="1" customWidth="1"/>
    <col min="17" max="16384" width="9.140625" style="1"/>
  </cols>
  <sheetData>
    <row r="1" spans="1:16" ht="12.7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2.75">
      <c r="A2" s="158" t="s">
        <v>12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2.75">
      <c r="A3" s="158" t="s">
        <v>433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12.75">
      <c r="A4" s="96"/>
      <c r="B4" s="2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2.75">
      <c r="A5" s="95" t="s">
        <v>90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2.75">
      <c r="A6" s="32" t="s">
        <v>89</v>
      </c>
      <c r="B6" s="29"/>
      <c r="C6" s="33"/>
      <c r="D6" s="3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2.75">
      <c r="A7" s="95" t="s">
        <v>39</v>
      </c>
      <c r="B7" s="29"/>
      <c r="C7" s="33"/>
      <c r="D7" s="34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2.75">
      <c r="A8" s="35"/>
      <c r="B8" s="36"/>
      <c r="C8" s="33"/>
      <c r="D8" s="34"/>
      <c r="E8" s="31"/>
      <c r="F8" s="28"/>
      <c r="G8" s="31"/>
      <c r="H8" s="31"/>
      <c r="I8" s="31"/>
      <c r="J8" s="31"/>
      <c r="K8" s="31"/>
      <c r="L8" s="28"/>
      <c r="M8" s="31"/>
      <c r="N8" s="37"/>
      <c r="O8" s="37"/>
      <c r="P8" s="31"/>
    </row>
    <row r="9" spans="1:16" ht="12.75">
      <c r="A9" s="32" t="s">
        <v>4</v>
      </c>
      <c r="B9" s="36"/>
      <c r="C9" s="33"/>
      <c r="D9" s="34"/>
      <c r="E9" s="31"/>
      <c r="F9" s="28"/>
      <c r="G9" s="31"/>
      <c r="H9" s="31"/>
      <c r="I9" s="31"/>
      <c r="J9" s="31"/>
      <c r="K9" s="31"/>
      <c r="L9" s="161"/>
      <c r="M9" s="161"/>
      <c r="N9" s="161"/>
      <c r="O9" s="160">
        <f>P285</f>
        <v>0</v>
      </c>
      <c r="P9" s="160"/>
    </row>
    <row r="10" spans="1:16" ht="12.75">
      <c r="A10" s="32" t="s">
        <v>36</v>
      </c>
      <c r="B10" s="36"/>
      <c r="C10" s="33"/>
      <c r="D10" s="34"/>
      <c r="E10" s="31"/>
      <c r="F10" s="28"/>
      <c r="G10" s="31"/>
      <c r="H10" s="31"/>
      <c r="I10" s="31"/>
      <c r="J10" s="31"/>
      <c r="K10" s="31"/>
      <c r="L10" s="28"/>
      <c r="M10" s="31"/>
      <c r="N10" s="37"/>
      <c r="O10" s="37"/>
      <c r="P10" s="31"/>
    </row>
    <row r="11" spans="1:16">
      <c r="A11" s="6"/>
      <c r="B11" s="7"/>
      <c r="C11" s="4"/>
      <c r="D11" s="5"/>
      <c r="E11" s="3"/>
      <c r="F11" s="8"/>
      <c r="G11" s="3"/>
      <c r="H11" s="3"/>
      <c r="I11" s="3"/>
      <c r="J11" s="3"/>
      <c r="K11" s="3"/>
      <c r="L11" s="8"/>
      <c r="M11" s="3"/>
      <c r="N11" s="9"/>
      <c r="O11" s="3"/>
      <c r="P11" s="3"/>
    </row>
    <row r="12" spans="1:16">
      <c r="A12" s="10"/>
      <c r="B12" s="7"/>
      <c r="C12" s="2"/>
      <c r="D12" s="3"/>
      <c r="E12" s="3"/>
      <c r="F12" s="3"/>
      <c r="G12" s="3"/>
      <c r="H12" s="3"/>
      <c r="I12" s="3"/>
      <c r="J12" s="3"/>
      <c r="K12" s="3"/>
      <c r="L12" s="8"/>
      <c r="M12" s="3"/>
      <c r="N12" s="3"/>
      <c r="O12" s="3"/>
      <c r="P12" s="3"/>
    </row>
    <row r="13" spans="1:16" ht="12" customHeight="1">
      <c r="A13" s="163" t="s">
        <v>5</v>
      </c>
      <c r="B13" s="164" t="s">
        <v>6</v>
      </c>
      <c r="C13" s="167" t="s">
        <v>7</v>
      </c>
      <c r="D13" s="165" t="s">
        <v>0</v>
      </c>
      <c r="E13" s="165" t="s">
        <v>1</v>
      </c>
      <c r="F13" s="159" t="s">
        <v>8</v>
      </c>
      <c r="G13" s="159"/>
      <c r="H13" s="159"/>
      <c r="I13" s="159"/>
      <c r="J13" s="159"/>
      <c r="K13" s="159"/>
      <c r="L13" s="159" t="s">
        <v>9</v>
      </c>
      <c r="M13" s="159"/>
      <c r="N13" s="159"/>
      <c r="O13" s="159"/>
      <c r="P13" s="159"/>
    </row>
    <row r="14" spans="1:16" ht="77.25" customHeight="1">
      <c r="A14" s="163"/>
      <c r="B14" s="164"/>
      <c r="C14" s="167"/>
      <c r="D14" s="165"/>
      <c r="E14" s="166"/>
      <c r="F14" s="97" t="s">
        <v>10</v>
      </c>
      <c r="G14" s="97" t="s">
        <v>21</v>
      </c>
      <c r="H14" s="97" t="s">
        <v>17</v>
      </c>
      <c r="I14" s="97" t="s">
        <v>18</v>
      </c>
      <c r="J14" s="97" t="s">
        <v>19</v>
      </c>
      <c r="K14" s="97" t="s">
        <v>22</v>
      </c>
      <c r="L14" s="97" t="s">
        <v>11</v>
      </c>
      <c r="M14" s="97" t="s">
        <v>17</v>
      </c>
      <c r="N14" s="97" t="s">
        <v>18</v>
      </c>
      <c r="O14" s="97" t="s">
        <v>19</v>
      </c>
      <c r="P14" s="97" t="s">
        <v>23</v>
      </c>
    </row>
    <row r="15" spans="1:16" ht="24">
      <c r="A15" s="17" t="s">
        <v>3</v>
      </c>
      <c r="B15" s="74"/>
      <c r="C15" s="100" t="s">
        <v>26</v>
      </c>
      <c r="D15" s="98"/>
      <c r="E15" s="99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</row>
    <row r="16" spans="1:16" ht="24">
      <c r="A16" s="42">
        <f>A15+1</f>
        <v>2</v>
      </c>
      <c r="B16" s="17"/>
      <c r="C16" s="75" t="s">
        <v>86</v>
      </c>
      <c r="D16" s="15" t="s">
        <v>27</v>
      </c>
      <c r="E16" s="24">
        <v>50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24">
      <c r="A17" s="42">
        <f t="shared" ref="A17:A80" si="0">A16+1</f>
        <v>3</v>
      </c>
      <c r="B17" s="17"/>
      <c r="C17" s="71" t="s">
        <v>28</v>
      </c>
      <c r="D17" s="76" t="s">
        <v>25</v>
      </c>
      <c r="E17" s="16">
        <v>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24">
      <c r="A18" s="42">
        <f t="shared" si="0"/>
        <v>4</v>
      </c>
      <c r="B18" s="17"/>
      <c r="C18" s="75" t="s">
        <v>87</v>
      </c>
      <c r="D18" s="15" t="s">
        <v>29</v>
      </c>
      <c r="E18" s="16">
        <v>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42">
        <f t="shared" si="0"/>
        <v>5</v>
      </c>
      <c r="B19" s="17"/>
      <c r="C19" s="71" t="s">
        <v>88</v>
      </c>
      <c r="D19" s="76" t="s">
        <v>30</v>
      </c>
      <c r="E19" s="16">
        <v>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>
      <c r="A20" s="42">
        <f t="shared" si="0"/>
        <v>6</v>
      </c>
      <c r="B20" s="17"/>
      <c r="C20" s="71" t="s">
        <v>31</v>
      </c>
      <c r="D20" s="76" t="s">
        <v>30</v>
      </c>
      <c r="E20" s="16">
        <v>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24">
      <c r="A21" s="42">
        <f t="shared" si="0"/>
        <v>7</v>
      </c>
      <c r="B21" s="17"/>
      <c r="C21" s="71" t="s">
        <v>32</v>
      </c>
      <c r="D21" s="76" t="s">
        <v>33</v>
      </c>
      <c r="E21" s="16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>
      <c r="A22" s="42">
        <f t="shared" si="0"/>
        <v>8</v>
      </c>
      <c r="B22" s="17"/>
      <c r="C22" s="71" t="s">
        <v>34</v>
      </c>
      <c r="D22" s="76" t="s">
        <v>33</v>
      </c>
      <c r="E22" s="16">
        <v>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>
      <c r="A23" s="42">
        <f t="shared" si="0"/>
        <v>9</v>
      </c>
      <c r="B23" s="17"/>
      <c r="C23" s="71" t="s">
        <v>35</v>
      </c>
      <c r="D23" s="76" t="s">
        <v>30</v>
      </c>
      <c r="E23" s="16">
        <v>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>
      <c r="A24" s="42">
        <f t="shared" si="0"/>
        <v>10</v>
      </c>
      <c r="B24" s="17"/>
      <c r="C24" s="100" t="s">
        <v>145</v>
      </c>
      <c r="D24" s="7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A25" s="42">
        <f t="shared" si="0"/>
        <v>11</v>
      </c>
      <c r="B25" s="44"/>
      <c r="C25" s="103" t="s">
        <v>104</v>
      </c>
      <c r="D25" s="23" t="s">
        <v>27</v>
      </c>
      <c r="E25" s="104">
        <v>48.52</v>
      </c>
      <c r="F25" s="93"/>
      <c r="G25" s="16"/>
      <c r="H25" s="93"/>
      <c r="I25" s="93"/>
      <c r="J25" s="93"/>
      <c r="K25" s="93"/>
      <c r="L25" s="93"/>
      <c r="M25" s="93"/>
      <c r="N25" s="93"/>
      <c r="O25" s="93"/>
      <c r="P25" s="93"/>
    </row>
    <row r="26" spans="1:16">
      <c r="A26" s="42">
        <f t="shared" si="0"/>
        <v>12</v>
      </c>
      <c r="B26" s="44"/>
      <c r="C26" s="103" t="s">
        <v>144</v>
      </c>
      <c r="D26" s="23" t="s">
        <v>13</v>
      </c>
      <c r="E26" s="104">
        <v>31.15</v>
      </c>
      <c r="F26" s="93"/>
      <c r="G26" s="16"/>
      <c r="H26" s="93"/>
      <c r="I26" s="93"/>
      <c r="J26" s="93"/>
      <c r="K26" s="93"/>
      <c r="L26" s="93"/>
      <c r="M26" s="93"/>
      <c r="N26" s="93"/>
      <c r="O26" s="93"/>
      <c r="P26" s="93"/>
    </row>
    <row r="27" spans="1:16">
      <c r="A27" s="42">
        <f t="shared" si="0"/>
        <v>13</v>
      </c>
      <c r="B27" s="44"/>
      <c r="C27" s="103" t="s">
        <v>206</v>
      </c>
      <c r="D27" s="23" t="s">
        <v>25</v>
      </c>
      <c r="E27" s="104">
        <v>4</v>
      </c>
      <c r="F27" s="93"/>
      <c r="G27" s="16"/>
      <c r="H27" s="93"/>
      <c r="I27" s="93"/>
      <c r="J27" s="93"/>
      <c r="K27" s="93"/>
      <c r="L27" s="93"/>
      <c r="M27" s="93"/>
      <c r="N27" s="93"/>
      <c r="O27" s="93"/>
      <c r="P27" s="93"/>
    </row>
    <row r="28" spans="1:16">
      <c r="A28" s="42">
        <f t="shared" si="0"/>
        <v>14</v>
      </c>
      <c r="B28" s="44"/>
      <c r="C28" s="103" t="s">
        <v>207</v>
      </c>
      <c r="D28" s="23" t="s">
        <v>13</v>
      </c>
      <c r="E28" s="104">
        <v>12.5</v>
      </c>
      <c r="F28" s="93"/>
      <c r="G28" s="16"/>
      <c r="H28" s="93"/>
      <c r="I28" s="93"/>
      <c r="J28" s="93"/>
      <c r="K28" s="93"/>
      <c r="L28" s="93"/>
      <c r="M28" s="93"/>
      <c r="N28" s="93"/>
      <c r="O28" s="93"/>
      <c r="P28" s="93"/>
    </row>
    <row r="29" spans="1:16">
      <c r="A29" s="42">
        <f t="shared" si="0"/>
        <v>15</v>
      </c>
      <c r="B29" s="44"/>
      <c r="C29" s="103" t="s">
        <v>208</v>
      </c>
      <c r="D29" s="23" t="s">
        <v>13</v>
      </c>
      <c r="E29" s="104">
        <v>64.17</v>
      </c>
      <c r="F29" s="93"/>
      <c r="G29" s="16"/>
      <c r="H29" s="93"/>
      <c r="I29" s="93"/>
      <c r="J29" s="93"/>
      <c r="K29" s="93"/>
      <c r="L29" s="93"/>
      <c r="M29" s="93"/>
      <c r="N29" s="93"/>
      <c r="O29" s="93"/>
      <c r="P29" s="93"/>
    </row>
    <row r="30" spans="1:16">
      <c r="A30" s="42">
        <f t="shared" si="0"/>
        <v>16</v>
      </c>
      <c r="B30" s="44"/>
      <c r="C30" s="103" t="s">
        <v>209</v>
      </c>
      <c r="D30" s="23" t="s">
        <v>13</v>
      </c>
      <c r="E30" s="104">
        <v>8.4</v>
      </c>
      <c r="F30" s="93"/>
      <c r="G30" s="16"/>
      <c r="H30" s="93"/>
      <c r="I30" s="93"/>
      <c r="J30" s="93"/>
      <c r="K30" s="93"/>
      <c r="L30" s="93"/>
      <c r="M30" s="93"/>
      <c r="N30" s="93"/>
      <c r="O30" s="93"/>
      <c r="P30" s="93"/>
    </row>
    <row r="31" spans="1:16" ht="24">
      <c r="A31" s="42">
        <f t="shared" si="0"/>
        <v>17</v>
      </c>
      <c r="B31" s="72"/>
      <c r="C31" s="86" t="s">
        <v>70</v>
      </c>
      <c r="D31" s="85" t="s">
        <v>45</v>
      </c>
      <c r="E31" s="18">
        <v>30</v>
      </c>
      <c r="F31" s="68"/>
      <c r="G31" s="68"/>
      <c r="H31" s="69"/>
      <c r="I31" s="69"/>
      <c r="J31" s="68"/>
      <c r="K31" s="81"/>
      <c r="L31" s="81"/>
      <c r="M31" s="81"/>
      <c r="N31" s="81"/>
      <c r="O31" s="81"/>
      <c r="P31" s="81"/>
    </row>
    <row r="32" spans="1:16">
      <c r="A32" s="42">
        <f t="shared" si="0"/>
        <v>18</v>
      </c>
      <c r="B32" s="17"/>
      <c r="C32" s="100" t="s">
        <v>145</v>
      </c>
      <c r="D32" s="7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>
      <c r="A33" s="42">
        <f t="shared" si="0"/>
        <v>19</v>
      </c>
      <c r="B33" s="17"/>
      <c r="C33" s="71" t="s">
        <v>75</v>
      </c>
      <c r="D33" s="15" t="s">
        <v>20</v>
      </c>
      <c r="E33" s="81">
        <v>1.1200000000000001</v>
      </c>
      <c r="F33" s="16"/>
      <c r="G33" s="16"/>
      <c r="H33" s="16"/>
      <c r="I33" s="16"/>
      <c r="J33" s="45"/>
      <c r="K33" s="16"/>
      <c r="L33" s="16"/>
      <c r="M33" s="16"/>
      <c r="N33" s="16"/>
      <c r="O33" s="16"/>
      <c r="P33" s="16"/>
    </row>
    <row r="34" spans="1:16" ht="24">
      <c r="A34" s="42">
        <f t="shared" si="0"/>
        <v>20</v>
      </c>
      <c r="B34" s="17"/>
      <c r="C34" s="71" t="s">
        <v>73</v>
      </c>
      <c r="D34" s="15" t="s">
        <v>20</v>
      </c>
      <c r="E34" s="81">
        <v>1.1200000000000001</v>
      </c>
      <c r="F34" s="16"/>
      <c r="G34" s="16"/>
      <c r="H34" s="16"/>
      <c r="I34" s="16"/>
      <c r="J34" s="45"/>
      <c r="K34" s="16"/>
      <c r="L34" s="16"/>
      <c r="M34" s="16"/>
      <c r="N34" s="16"/>
      <c r="O34" s="16"/>
      <c r="P34" s="16"/>
    </row>
    <row r="35" spans="1:16" ht="24">
      <c r="A35" s="42">
        <f t="shared" si="0"/>
        <v>21</v>
      </c>
      <c r="B35" s="44"/>
      <c r="C35" s="78" t="s">
        <v>54</v>
      </c>
      <c r="D35" s="23" t="s">
        <v>20</v>
      </c>
      <c r="E35" s="45">
        <v>0.33600000000000002</v>
      </c>
      <c r="F35" s="45"/>
      <c r="G35" s="16"/>
      <c r="H35" s="45"/>
      <c r="I35" s="16"/>
      <c r="J35" s="16"/>
      <c r="K35" s="45"/>
      <c r="L35" s="45"/>
      <c r="M35" s="45"/>
      <c r="N35" s="45"/>
      <c r="O35" s="45"/>
      <c r="P35" s="45"/>
    </row>
    <row r="36" spans="1:16">
      <c r="A36" s="42">
        <f t="shared" si="0"/>
        <v>22</v>
      </c>
      <c r="B36" s="44"/>
      <c r="C36" s="46" t="s">
        <v>40</v>
      </c>
      <c r="D36" s="23" t="s">
        <v>20</v>
      </c>
      <c r="E36" s="45">
        <f>E35*1.3</f>
        <v>0.43680000000000002</v>
      </c>
      <c r="F36" s="45"/>
      <c r="G36" s="16"/>
      <c r="H36" s="47"/>
      <c r="I36" s="16"/>
      <c r="J36" s="47"/>
      <c r="K36" s="45"/>
      <c r="L36" s="47"/>
      <c r="M36" s="47"/>
      <c r="N36" s="45"/>
      <c r="O36" s="45"/>
      <c r="P36" s="45"/>
    </row>
    <row r="37" spans="1:16" ht="36">
      <c r="A37" s="42">
        <f t="shared" si="0"/>
        <v>23</v>
      </c>
      <c r="B37" s="17"/>
      <c r="C37" s="78" t="s">
        <v>41</v>
      </c>
      <c r="D37" s="23" t="s">
        <v>13</v>
      </c>
      <c r="E37" s="24">
        <v>9.36</v>
      </c>
      <c r="F37" s="45"/>
      <c r="G37" s="16"/>
      <c r="H37" s="45"/>
      <c r="I37" s="45"/>
      <c r="J37" s="45"/>
      <c r="K37" s="45"/>
      <c r="L37" s="45"/>
      <c r="M37" s="45"/>
      <c r="N37" s="45"/>
      <c r="O37" s="45"/>
      <c r="P37" s="45"/>
    </row>
    <row r="38" spans="1:16" ht="24">
      <c r="A38" s="42">
        <f t="shared" si="0"/>
        <v>24</v>
      </c>
      <c r="B38" s="44"/>
      <c r="C38" s="48" t="s">
        <v>42</v>
      </c>
      <c r="D38" s="23" t="s">
        <v>13</v>
      </c>
      <c r="E38" s="24">
        <f>E37</f>
        <v>9.36</v>
      </c>
      <c r="F38" s="45"/>
      <c r="G38" s="16"/>
      <c r="H38" s="45"/>
      <c r="I38" s="45"/>
      <c r="J38" s="47"/>
      <c r="K38" s="45"/>
      <c r="L38" s="47"/>
      <c r="M38" s="47"/>
      <c r="N38" s="45"/>
      <c r="O38" s="45"/>
      <c r="P38" s="45"/>
    </row>
    <row r="39" spans="1:16" ht="24">
      <c r="A39" s="42">
        <f t="shared" si="0"/>
        <v>25</v>
      </c>
      <c r="B39" s="44"/>
      <c r="C39" s="48" t="s">
        <v>43</v>
      </c>
      <c r="D39" s="23" t="s">
        <v>13</v>
      </c>
      <c r="E39" s="24">
        <f>E37</f>
        <v>9.36</v>
      </c>
      <c r="F39" s="45"/>
      <c r="G39" s="16"/>
      <c r="H39" s="45"/>
      <c r="I39" s="45"/>
      <c r="J39" s="47"/>
      <c r="K39" s="45"/>
      <c r="L39" s="47"/>
      <c r="M39" s="47"/>
      <c r="N39" s="45"/>
      <c r="O39" s="45"/>
      <c r="P39" s="45"/>
    </row>
    <row r="40" spans="1:16" ht="36">
      <c r="A40" s="42">
        <f t="shared" si="0"/>
        <v>26</v>
      </c>
      <c r="B40" s="44"/>
      <c r="C40" s="79" t="s">
        <v>44</v>
      </c>
      <c r="D40" s="23" t="s">
        <v>45</v>
      </c>
      <c r="E40" s="45">
        <v>7.0000000000000007E-2</v>
      </c>
      <c r="F40" s="16"/>
      <c r="G40" s="16"/>
      <c r="H40" s="45"/>
      <c r="I40" s="16"/>
      <c r="J40" s="16"/>
      <c r="K40" s="45"/>
      <c r="L40" s="45"/>
      <c r="M40" s="45"/>
      <c r="N40" s="16"/>
      <c r="O40" s="45"/>
      <c r="P40" s="45"/>
    </row>
    <row r="41" spans="1:16">
      <c r="A41" s="42">
        <f t="shared" si="0"/>
        <v>27</v>
      </c>
      <c r="B41" s="49"/>
      <c r="C41" s="50" t="s">
        <v>46</v>
      </c>
      <c r="D41" s="51" t="s">
        <v>45</v>
      </c>
      <c r="E41" s="52">
        <f>E40*1.1</f>
        <v>7.7000000000000013E-2</v>
      </c>
      <c r="F41" s="16"/>
      <c r="G41" s="16"/>
      <c r="H41" s="16"/>
      <c r="I41" s="16"/>
      <c r="J41" s="45"/>
      <c r="K41" s="45"/>
      <c r="L41" s="47"/>
      <c r="M41" s="47"/>
      <c r="N41" s="45"/>
      <c r="O41" s="45"/>
      <c r="P41" s="45"/>
    </row>
    <row r="42" spans="1:16">
      <c r="A42" s="42">
        <f t="shared" si="0"/>
        <v>28</v>
      </c>
      <c r="B42" s="49"/>
      <c r="C42" s="50" t="s">
        <v>47</v>
      </c>
      <c r="D42" s="51" t="s">
        <v>45</v>
      </c>
      <c r="E42" s="52">
        <f>E40</f>
        <v>7.0000000000000007E-2</v>
      </c>
      <c r="F42" s="16"/>
      <c r="G42" s="16"/>
      <c r="H42" s="16"/>
      <c r="I42" s="16"/>
      <c r="J42" s="45"/>
      <c r="K42" s="45"/>
      <c r="L42" s="47"/>
      <c r="M42" s="47"/>
      <c r="N42" s="45"/>
      <c r="O42" s="45"/>
      <c r="P42" s="45"/>
    </row>
    <row r="43" spans="1:16">
      <c r="A43" s="42">
        <f t="shared" si="0"/>
        <v>29</v>
      </c>
      <c r="B43" s="17"/>
      <c r="C43" s="80" t="s">
        <v>48</v>
      </c>
      <c r="D43" s="15" t="s">
        <v>20</v>
      </c>
      <c r="E43" s="81">
        <v>1.1200000000000001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>
      <c r="A44" s="42">
        <f t="shared" si="0"/>
        <v>30</v>
      </c>
      <c r="B44" s="17"/>
      <c r="C44" s="53" t="s">
        <v>49</v>
      </c>
      <c r="D44" s="15" t="s">
        <v>20</v>
      </c>
      <c r="E44" s="24">
        <f>1.05*E43</f>
        <v>1.1760000000000002</v>
      </c>
      <c r="F44" s="16"/>
      <c r="G44" s="16"/>
      <c r="H44" s="16"/>
      <c r="I44" s="45"/>
      <c r="J44" s="45"/>
      <c r="K44" s="45"/>
      <c r="L44" s="47"/>
      <c r="M44" s="47"/>
      <c r="N44" s="45"/>
      <c r="O44" s="45"/>
      <c r="P44" s="45"/>
    </row>
    <row r="45" spans="1:16" ht="24">
      <c r="A45" s="42">
        <f t="shared" si="0"/>
        <v>31</v>
      </c>
      <c r="B45" s="44"/>
      <c r="C45" s="78" t="s">
        <v>50</v>
      </c>
      <c r="D45" s="23" t="s">
        <v>13</v>
      </c>
      <c r="E45" s="24">
        <v>9.36</v>
      </c>
      <c r="F45" s="45"/>
      <c r="G45" s="16"/>
      <c r="H45" s="45"/>
      <c r="I45" s="16"/>
      <c r="J45" s="16"/>
      <c r="K45" s="45"/>
      <c r="L45" s="45"/>
      <c r="M45" s="45"/>
      <c r="N45" s="45"/>
      <c r="O45" s="45"/>
      <c r="P45" s="45"/>
    </row>
    <row r="46" spans="1:16">
      <c r="A46" s="42">
        <f t="shared" si="0"/>
        <v>32</v>
      </c>
      <c r="B46" s="44"/>
      <c r="C46" s="46" t="s">
        <v>51</v>
      </c>
      <c r="D46" s="54" t="s">
        <v>14</v>
      </c>
      <c r="E46" s="55">
        <f>1*E45/25</f>
        <v>0.37439999999999996</v>
      </c>
      <c r="F46" s="55"/>
      <c r="G46" s="16"/>
      <c r="H46" s="55"/>
      <c r="I46" s="55"/>
      <c r="J46" s="56"/>
      <c r="K46" s="45"/>
      <c r="L46" s="47"/>
      <c r="M46" s="47"/>
      <c r="N46" s="45"/>
      <c r="O46" s="45"/>
      <c r="P46" s="45"/>
    </row>
    <row r="47" spans="1:16" ht="24">
      <c r="A47" s="42">
        <f t="shared" si="0"/>
        <v>33</v>
      </c>
      <c r="B47" s="44"/>
      <c r="C47" s="78" t="s">
        <v>52</v>
      </c>
      <c r="D47" s="23" t="s">
        <v>13</v>
      </c>
      <c r="E47" s="45">
        <v>1.6800000000000002</v>
      </c>
      <c r="F47" s="45"/>
      <c r="G47" s="16"/>
      <c r="H47" s="45"/>
      <c r="I47" s="16"/>
      <c r="J47" s="16"/>
      <c r="K47" s="45"/>
      <c r="L47" s="45"/>
      <c r="M47" s="45"/>
      <c r="N47" s="45"/>
      <c r="O47" s="45"/>
      <c r="P47" s="45"/>
    </row>
    <row r="48" spans="1:16">
      <c r="A48" s="42">
        <f t="shared" si="0"/>
        <v>34</v>
      </c>
      <c r="B48" s="44"/>
      <c r="C48" s="46" t="s">
        <v>53</v>
      </c>
      <c r="D48" s="54" t="s">
        <v>14</v>
      </c>
      <c r="E48" s="55">
        <f>E47*2.1/15</f>
        <v>0.23520000000000002</v>
      </c>
      <c r="F48" s="55"/>
      <c r="G48" s="16"/>
      <c r="H48" s="55"/>
      <c r="I48" s="55"/>
      <c r="J48" s="56"/>
      <c r="K48" s="45"/>
      <c r="L48" s="47"/>
      <c r="M48" s="47"/>
      <c r="N48" s="45"/>
      <c r="O48" s="45"/>
      <c r="P48" s="45"/>
    </row>
    <row r="49" spans="1:16">
      <c r="A49" s="42">
        <f t="shared" si="0"/>
        <v>35</v>
      </c>
      <c r="B49" s="44"/>
      <c r="C49" s="46" t="s">
        <v>51</v>
      </c>
      <c r="D49" s="54" t="s">
        <v>14</v>
      </c>
      <c r="E49" s="55">
        <f>4.2*E47/25</f>
        <v>0.28224000000000005</v>
      </c>
      <c r="F49" s="55"/>
      <c r="G49" s="16"/>
      <c r="H49" s="55"/>
      <c r="I49" s="55"/>
      <c r="J49" s="56"/>
      <c r="K49" s="45"/>
      <c r="L49" s="47"/>
      <c r="M49" s="47"/>
      <c r="N49" s="45"/>
      <c r="O49" s="45"/>
      <c r="P49" s="45"/>
    </row>
    <row r="50" spans="1:16">
      <c r="A50" s="42">
        <f t="shared" si="0"/>
        <v>36</v>
      </c>
      <c r="B50" s="17"/>
      <c r="C50" s="100" t="s">
        <v>146</v>
      </c>
      <c r="D50" s="7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42">
        <f t="shared" si="0"/>
        <v>37</v>
      </c>
      <c r="B51" s="17"/>
      <c r="C51" s="71" t="s">
        <v>75</v>
      </c>
      <c r="D51" s="15" t="s">
        <v>20</v>
      </c>
      <c r="E51" s="81">
        <v>0.49</v>
      </c>
      <c r="F51" s="16"/>
      <c r="G51" s="16"/>
      <c r="H51" s="16"/>
      <c r="I51" s="16"/>
      <c r="J51" s="45"/>
      <c r="K51" s="16"/>
      <c r="L51" s="16"/>
      <c r="M51" s="16"/>
      <c r="N51" s="16"/>
      <c r="O51" s="16"/>
      <c r="P51" s="16"/>
    </row>
    <row r="52" spans="1:16" ht="24">
      <c r="A52" s="42">
        <f t="shared" si="0"/>
        <v>38</v>
      </c>
      <c r="B52" s="17"/>
      <c r="C52" s="71" t="s">
        <v>73</v>
      </c>
      <c r="D52" s="15" t="s">
        <v>20</v>
      </c>
      <c r="E52" s="81">
        <v>0.49</v>
      </c>
      <c r="F52" s="16"/>
      <c r="G52" s="16"/>
      <c r="H52" s="16"/>
      <c r="I52" s="16"/>
      <c r="J52" s="45"/>
      <c r="K52" s="16"/>
      <c r="L52" s="16"/>
      <c r="M52" s="16"/>
      <c r="N52" s="16"/>
      <c r="O52" s="16"/>
      <c r="P52" s="16"/>
    </row>
    <row r="53" spans="1:16" ht="24">
      <c r="A53" s="42">
        <f t="shared" si="0"/>
        <v>39</v>
      </c>
      <c r="B53" s="44"/>
      <c r="C53" s="78" t="s">
        <v>54</v>
      </c>
      <c r="D53" s="23" t="s">
        <v>20</v>
      </c>
      <c r="E53" s="45">
        <v>5.3999999999999992E-2</v>
      </c>
      <c r="F53" s="45"/>
      <c r="G53" s="16"/>
      <c r="H53" s="45"/>
      <c r="I53" s="16"/>
      <c r="J53" s="16"/>
      <c r="K53" s="45"/>
      <c r="L53" s="45"/>
      <c r="M53" s="45"/>
      <c r="N53" s="45"/>
      <c r="O53" s="45"/>
      <c r="P53" s="45"/>
    </row>
    <row r="54" spans="1:16">
      <c r="A54" s="42">
        <f t="shared" si="0"/>
        <v>40</v>
      </c>
      <c r="B54" s="44"/>
      <c r="C54" s="46" t="s">
        <v>40</v>
      </c>
      <c r="D54" s="23" t="s">
        <v>20</v>
      </c>
      <c r="E54" s="45">
        <f>E53*1.3</f>
        <v>7.0199999999999999E-2</v>
      </c>
      <c r="F54" s="45"/>
      <c r="G54" s="16"/>
      <c r="H54" s="47"/>
      <c r="I54" s="16"/>
      <c r="J54" s="47"/>
      <c r="K54" s="45"/>
      <c r="L54" s="47"/>
      <c r="M54" s="47"/>
      <c r="N54" s="45"/>
      <c r="O54" s="45"/>
      <c r="P54" s="45"/>
    </row>
    <row r="55" spans="1:16" ht="36">
      <c r="A55" s="42">
        <f t="shared" si="0"/>
        <v>41</v>
      </c>
      <c r="B55" s="17"/>
      <c r="C55" s="78" t="s">
        <v>41</v>
      </c>
      <c r="D55" s="23" t="s">
        <v>13</v>
      </c>
      <c r="E55" s="24">
        <v>6.48</v>
      </c>
      <c r="F55" s="45"/>
      <c r="G55" s="16"/>
      <c r="H55" s="45"/>
      <c r="I55" s="45"/>
      <c r="J55" s="45"/>
      <c r="K55" s="45"/>
      <c r="L55" s="45"/>
      <c r="M55" s="45"/>
      <c r="N55" s="45"/>
      <c r="O55" s="45"/>
      <c r="P55" s="45"/>
    </row>
    <row r="56" spans="1:16" ht="24">
      <c r="A56" s="42">
        <f t="shared" si="0"/>
        <v>42</v>
      </c>
      <c r="B56" s="44"/>
      <c r="C56" s="48" t="s">
        <v>42</v>
      </c>
      <c r="D56" s="23" t="s">
        <v>13</v>
      </c>
      <c r="E56" s="24">
        <f>E55</f>
        <v>6.48</v>
      </c>
      <c r="F56" s="45"/>
      <c r="G56" s="16"/>
      <c r="H56" s="45"/>
      <c r="I56" s="45"/>
      <c r="J56" s="47"/>
      <c r="K56" s="45"/>
      <c r="L56" s="47"/>
      <c r="M56" s="47"/>
      <c r="N56" s="45"/>
      <c r="O56" s="45"/>
      <c r="P56" s="45"/>
    </row>
    <row r="57" spans="1:16" ht="24">
      <c r="A57" s="42">
        <f t="shared" si="0"/>
        <v>43</v>
      </c>
      <c r="B57" s="44"/>
      <c r="C57" s="48" t="s">
        <v>43</v>
      </c>
      <c r="D57" s="23" t="s">
        <v>13</v>
      </c>
      <c r="E57" s="24">
        <f>E55</f>
        <v>6.48</v>
      </c>
      <c r="F57" s="45"/>
      <c r="G57" s="16"/>
      <c r="H57" s="45"/>
      <c r="I57" s="45"/>
      <c r="J57" s="47"/>
      <c r="K57" s="45"/>
      <c r="L57" s="47"/>
      <c r="M57" s="47"/>
      <c r="N57" s="45"/>
      <c r="O57" s="45"/>
      <c r="P57" s="45"/>
    </row>
    <row r="58" spans="1:16" ht="36">
      <c r="A58" s="42">
        <f t="shared" si="0"/>
        <v>44</v>
      </c>
      <c r="B58" s="44"/>
      <c r="C58" s="79" t="s">
        <v>44</v>
      </c>
      <c r="D58" s="23" t="s">
        <v>45</v>
      </c>
      <c r="E58" s="45">
        <v>0.03</v>
      </c>
      <c r="F58" s="16"/>
      <c r="G58" s="16"/>
      <c r="H58" s="45"/>
      <c r="I58" s="16"/>
      <c r="J58" s="16"/>
      <c r="K58" s="45"/>
      <c r="L58" s="45"/>
      <c r="M58" s="45"/>
      <c r="N58" s="16"/>
      <c r="O58" s="45"/>
      <c r="P58" s="45"/>
    </row>
    <row r="59" spans="1:16">
      <c r="A59" s="42">
        <f t="shared" si="0"/>
        <v>45</v>
      </c>
      <c r="B59" s="49"/>
      <c r="C59" s="50" t="s">
        <v>46</v>
      </c>
      <c r="D59" s="51" t="s">
        <v>45</v>
      </c>
      <c r="E59" s="52">
        <f>E58*1.1</f>
        <v>3.3000000000000002E-2</v>
      </c>
      <c r="F59" s="16"/>
      <c r="G59" s="16"/>
      <c r="H59" s="16"/>
      <c r="I59" s="16"/>
      <c r="J59" s="45"/>
      <c r="K59" s="45"/>
      <c r="L59" s="47"/>
      <c r="M59" s="47"/>
      <c r="N59" s="45"/>
      <c r="O59" s="45"/>
      <c r="P59" s="45"/>
    </row>
    <row r="60" spans="1:16">
      <c r="A60" s="42">
        <f t="shared" si="0"/>
        <v>46</v>
      </c>
      <c r="B60" s="49"/>
      <c r="C60" s="50" t="s">
        <v>47</v>
      </c>
      <c r="D60" s="51" t="s">
        <v>45</v>
      </c>
      <c r="E60" s="52">
        <f>E58</f>
        <v>0.03</v>
      </c>
      <c r="F60" s="16"/>
      <c r="G60" s="16"/>
      <c r="H60" s="16"/>
      <c r="I60" s="16"/>
      <c r="J60" s="45"/>
      <c r="K60" s="45"/>
      <c r="L60" s="47"/>
      <c r="M60" s="47"/>
      <c r="N60" s="45"/>
      <c r="O60" s="45"/>
      <c r="P60" s="45"/>
    </row>
    <row r="61" spans="1:16">
      <c r="A61" s="42">
        <f t="shared" si="0"/>
        <v>47</v>
      </c>
      <c r="B61" s="17"/>
      <c r="C61" s="80" t="s">
        <v>48</v>
      </c>
      <c r="D61" s="15" t="s">
        <v>20</v>
      </c>
      <c r="E61" s="81">
        <v>0.48599999999999999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>
      <c r="A62" s="42">
        <f t="shared" si="0"/>
        <v>48</v>
      </c>
      <c r="B62" s="17"/>
      <c r="C62" s="53" t="s">
        <v>49</v>
      </c>
      <c r="D62" s="15" t="s">
        <v>20</v>
      </c>
      <c r="E62" s="24">
        <f>1.05*E61</f>
        <v>0.51029999999999998</v>
      </c>
      <c r="F62" s="16"/>
      <c r="G62" s="16"/>
      <c r="H62" s="16"/>
      <c r="I62" s="45"/>
      <c r="J62" s="45"/>
      <c r="K62" s="45"/>
      <c r="L62" s="47"/>
      <c r="M62" s="47"/>
      <c r="N62" s="45"/>
      <c r="O62" s="45"/>
      <c r="P62" s="45"/>
    </row>
    <row r="63" spans="1:16" ht="24">
      <c r="A63" s="42">
        <f t="shared" si="0"/>
        <v>49</v>
      </c>
      <c r="B63" s="44"/>
      <c r="C63" s="78" t="s">
        <v>50</v>
      </c>
      <c r="D63" s="23" t="s">
        <v>13</v>
      </c>
      <c r="E63" s="24">
        <v>6.48</v>
      </c>
      <c r="F63" s="45"/>
      <c r="G63" s="16"/>
      <c r="H63" s="45"/>
      <c r="I63" s="16"/>
      <c r="J63" s="16"/>
      <c r="K63" s="45"/>
      <c r="L63" s="45"/>
      <c r="M63" s="45"/>
      <c r="N63" s="45"/>
      <c r="O63" s="45"/>
      <c r="P63" s="45"/>
    </row>
    <row r="64" spans="1:16">
      <c r="A64" s="42">
        <f t="shared" si="0"/>
        <v>50</v>
      </c>
      <c r="B64" s="44"/>
      <c r="C64" s="46" t="s">
        <v>51</v>
      </c>
      <c r="D64" s="54" t="s">
        <v>14</v>
      </c>
      <c r="E64" s="55">
        <f>1*E63/25</f>
        <v>0.25920000000000004</v>
      </c>
      <c r="F64" s="55"/>
      <c r="G64" s="16"/>
      <c r="H64" s="55"/>
      <c r="I64" s="55"/>
      <c r="J64" s="56"/>
      <c r="K64" s="45"/>
      <c r="L64" s="47"/>
      <c r="M64" s="47"/>
      <c r="N64" s="45"/>
      <c r="O64" s="45"/>
      <c r="P64" s="45"/>
    </row>
    <row r="65" spans="1:16" ht="24">
      <c r="A65" s="42">
        <f t="shared" si="0"/>
        <v>51</v>
      </c>
      <c r="B65" s="44"/>
      <c r="C65" s="78" t="s">
        <v>52</v>
      </c>
      <c r="D65" s="23" t="s">
        <v>13</v>
      </c>
      <c r="E65" s="45">
        <v>0.72</v>
      </c>
      <c r="F65" s="45"/>
      <c r="G65" s="16"/>
      <c r="H65" s="45"/>
      <c r="I65" s="16"/>
      <c r="J65" s="16"/>
      <c r="K65" s="45"/>
      <c r="L65" s="45"/>
      <c r="M65" s="45"/>
      <c r="N65" s="45"/>
      <c r="O65" s="45"/>
      <c r="P65" s="45"/>
    </row>
    <row r="66" spans="1:16">
      <c r="A66" s="42">
        <f t="shared" si="0"/>
        <v>52</v>
      </c>
      <c r="B66" s="44"/>
      <c r="C66" s="46" t="s">
        <v>53</v>
      </c>
      <c r="D66" s="54" t="s">
        <v>14</v>
      </c>
      <c r="E66" s="55">
        <f>E65*2.1/15</f>
        <v>0.1008</v>
      </c>
      <c r="F66" s="55"/>
      <c r="G66" s="16"/>
      <c r="H66" s="55"/>
      <c r="I66" s="55"/>
      <c r="J66" s="56"/>
      <c r="K66" s="45"/>
      <c r="L66" s="47"/>
      <c r="M66" s="47"/>
      <c r="N66" s="45"/>
      <c r="O66" s="45"/>
      <c r="P66" s="45"/>
    </row>
    <row r="67" spans="1:16">
      <c r="A67" s="42">
        <f t="shared" si="0"/>
        <v>53</v>
      </c>
      <c r="B67" s="44"/>
      <c r="C67" s="46" t="s">
        <v>51</v>
      </c>
      <c r="D67" s="54" t="s">
        <v>14</v>
      </c>
      <c r="E67" s="55">
        <f>4.2*E65/25</f>
        <v>0.12096</v>
      </c>
      <c r="F67" s="55"/>
      <c r="G67" s="16"/>
      <c r="H67" s="55"/>
      <c r="I67" s="55"/>
      <c r="J67" s="56"/>
      <c r="K67" s="45"/>
      <c r="L67" s="47"/>
      <c r="M67" s="47"/>
      <c r="N67" s="45"/>
      <c r="O67" s="45"/>
      <c r="P67" s="45"/>
    </row>
    <row r="68" spans="1:16">
      <c r="A68" s="42">
        <f t="shared" si="0"/>
        <v>54</v>
      </c>
      <c r="B68" s="17"/>
      <c r="C68" s="100" t="s">
        <v>103</v>
      </c>
      <c r="D68" s="7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>
      <c r="A69" s="42">
        <f t="shared" si="0"/>
        <v>55</v>
      </c>
      <c r="B69" s="44"/>
      <c r="C69" s="103" t="s">
        <v>104</v>
      </c>
      <c r="D69" s="23" t="s">
        <v>27</v>
      </c>
      <c r="E69" s="104">
        <v>48.52</v>
      </c>
      <c r="F69" s="93"/>
      <c r="G69" s="16"/>
      <c r="H69" s="93"/>
      <c r="I69" s="93"/>
      <c r="J69" s="93"/>
      <c r="K69" s="93"/>
      <c r="L69" s="93"/>
      <c r="M69" s="93"/>
      <c r="N69" s="93"/>
      <c r="O69" s="93"/>
      <c r="P69" s="93"/>
    </row>
    <row r="70" spans="1:16">
      <c r="A70" s="42">
        <f t="shared" si="0"/>
        <v>56</v>
      </c>
      <c r="B70" s="44"/>
      <c r="C70" s="103" t="s">
        <v>144</v>
      </c>
      <c r="D70" s="23" t="s">
        <v>13</v>
      </c>
      <c r="E70" s="104">
        <v>31.15</v>
      </c>
      <c r="F70" s="93"/>
      <c r="G70" s="16"/>
      <c r="H70" s="93"/>
      <c r="I70" s="93"/>
      <c r="J70" s="93"/>
      <c r="K70" s="93"/>
      <c r="L70" s="93"/>
      <c r="M70" s="93"/>
      <c r="N70" s="93"/>
      <c r="O70" s="93"/>
      <c r="P70" s="93"/>
    </row>
    <row r="71" spans="1:16" ht="24">
      <c r="A71" s="42">
        <f t="shared" si="0"/>
        <v>57</v>
      </c>
      <c r="B71" s="72"/>
      <c r="C71" s="86" t="s">
        <v>70</v>
      </c>
      <c r="D71" s="85" t="s">
        <v>45</v>
      </c>
      <c r="E71" s="18">
        <v>10</v>
      </c>
      <c r="F71" s="68"/>
      <c r="G71" s="68"/>
      <c r="H71" s="69"/>
      <c r="I71" s="69"/>
      <c r="J71" s="68"/>
      <c r="K71" s="81"/>
      <c r="L71" s="81"/>
      <c r="M71" s="81"/>
      <c r="N71" s="81"/>
      <c r="O71" s="81"/>
      <c r="P71" s="81"/>
    </row>
    <row r="72" spans="1:16">
      <c r="A72" s="42">
        <f t="shared" si="0"/>
        <v>58</v>
      </c>
      <c r="B72" s="44"/>
      <c r="C72" s="101" t="s">
        <v>91</v>
      </c>
      <c r="D72" s="23" t="s">
        <v>13</v>
      </c>
      <c r="E72" s="16">
        <v>50.68</v>
      </c>
      <c r="F72" s="45"/>
      <c r="G72" s="43"/>
      <c r="H72" s="45"/>
      <c r="I72" s="45"/>
      <c r="J72" s="16"/>
      <c r="K72" s="45"/>
      <c r="L72" s="45"/>
      <c r="M72" s="45"/>
      <c r="N72" s="45"/>
      <c r="O72" s="45"/>
      <c r="P72" s="45"/>
    </row>
    <row r="73" spans="1:16">
      <c r="A73" s="42">
        <f t="shared" si="0"/>
        <v>59</v>
      </c>
      <c r="B73" s="44"/>
      <c r="C73" s="70" t="s">
        <v>92</v>
      </c>
      <c r="D73" s="23" t="s">
        <v>14</v>
      </c>
      <c r="E73" s="45">
        <f>E72/15</f>
        <v>3.3786666666666667</v>
      </c>
      <c r="F73" s="45"/>
      <c r="G73" s="45"/>
      <c r="H73" s="45"/>
      <c r="I73" s="45"/>
      <c r="J73" s="45"/>
      <c r="K73" s="45"/>
      <c r="L73" s="45"/>
      <c r="M73" s="45"/>
      <c r="N73" s="16"/>
      <c r="O73" s="45"/>
      <c r="P73" s="45"/>
    </row>
    <row r="74" spans="1:16">
      <c r="A74" s="42">
        <f t="shared" si="0"/>
        <v>60</v>
      </c>
      <c r="B74" s="44"/>
      <c r="C74" s="70" t="s">
        <v>93</v>
      </c>
      <c r="D74" s="23" t="s">
        <v>14</v>
      </c>
      <c r="E74" s="45">
        <f>E72/15</f>
        <v>3.3786666666666667</v>
      </c>
      <c r="F74" s="45"/>
      <c r="G74" s="45"/>
      <c r="H74" s="45"/>
      <c r="I74" s="45"/>
      <c r="J74" s="45"/>
      <c r="K74" s="45"/>
      <c r="L74" s="45"/>
      <c r="M74" s="45"/>
      <c r="N74" s="16"/>
      <c r="O74" s="45"/>
      <c r="P74" s="45"/>
    </row>
    <row r="75" spans="1:16">
      <c r="A75" s="42">
        <f t="shared" si="0"/>
        <v>61</v>
      </c>
      <c r="B75" s="44"/>
      <c r="C75" s="70" t="s">
        <v>94</v>
      </c>
      <c r="D75" s="23" t="s">
        <v>14</v>
      </c>
      <c r="E75" s="45">
        <f>E72/20</f>
        <v>2.5339999999999998</v>
      </c>
      <c r="F75" s="45"/>
      <c r="G75" s="45"/>
      <c r="H75" s="45"/>
      <c r="I75" s="45"/>
      <c r="J75" s="45"/>
      <c r="K75" s="45"/>
      <c r="L75" s="45"/>
      <c r="M75" s="45"/>
      <c r="N75" s="16"/>
      <c r="O75" s="45"/>
      <c r="P75" s="45"/>
    </row>
    <row r="76" spans="1:16">
      <c r="A76" s="42">
        <f t="shared" si="0"/>
        <v>62</v>
      </c>
      <c r="B76" s="44"/>
      <c r="C76" s="70" t="s">
        <v>95</v>
      </c>
      <c r="D76" s="23" t="s">
        <v>14</v>
      </c>
      <c r="E76" s="45">
        <f>E72/8</f>
        <v>6.335</v>
      </c>
      <c r="F76" s="45"/>
      <c r="G76" s="45"/>
      <c r="H76" s="45"/>
      <c r="I76" s="45"/>
      <c r="J76" s="45"/>
      <c r="K76" s="45"/>
      <c r="L76" s="45"/>
      <c r="M76" s="45"/>
      <c r="N76" s="16"/>
      <c r="O76" s="45"/>
      <c r="P76" s="45"/>
    </row>
    <row r="77" spans="1:16">
      <c r="A77" s="42">
        <f t="shared" si="0"/>
        <v>63</v>
      </c>
      <c r="B77" s="44"/>
      <c r="C77" s="101" t="s">
        <v>96</v>
      </c>
      <c r="D77" s="23" t="s">
        <v>13</v>
      </c>
      <c r="E77" s="16">
        <v>50.68</v>
      </c>
      <c r="F77" s="45"/>
      <c r="G77" s="43"/>
      <c r="H77" s="45"/>
      <c r="I77" s="45"/>
      <c r="J77" s="16"/>
      <c r="K77" s="45"/>
      <c r="L77" s="45"/>
      <c r="M77" s="45"/>
      <c r="N77" s="45"/>
      <c r="O77" s="45"/>
      <c r="P77" s="45"/>
    </row>
    <row r="78" spans="1:16">
      <c r="A78" s="42">
        <f t="shared" si="0"/>
        <v>64</v>
      </c>
      <c r="B78" s="44"/>
      <c r="C78" s="102" t="s">
        <v>97</v>
      </c>
      <c r="D78" s="23" t="s">
        <v>64</v>
      </c>
      <c r="E78" s="45">
        <f>(E77*0.1)</f>
        <v>5.0680000000000005</v>
      </c>
      <c r="F78" s="45"/>
      <c r="G78" s="45"/>
      <c r="H78" s="45"/>
      <c r="I78" s="45"/>
      <c r="J78" s="45"/>
      <c r="K78" s="45"/>
      <c r="L78" s="45"/>
      <c r="M78" s="45"/>
      <c r="N78" s="16"/>
      <c r="O78" s="45"/>
      <c r="P78" s="45"/>
    </row>
    <row r="79" spans="1:16">
      <c r="A79" s="42">
        <f t="shared" si="0"/>
        <v>65</v>
      </c>
      <c r="B79" s="44"/>
      <c r="C79" s="101" t="s">
        <v>98</v>
      </c>
      <c r="D79" s="23" t="s">
        <v>13</v>
      </c>
      <c r="E79" s="16">
        <v>50.68</v>
      </c>
      <c r="F79" s="45"/>
      <c r="G79" s="43"/>
      <c r="H79" s="45"/>
      <c r="I79" s="45"/>
      <c r="J79" s="16"/>
      <c r="K79" s="45"/>
      <c r="L79" s="45"/>
      <c r="M79" s="45"/>
      <c r="N79" s="45"/>
      <c r="O79" s="45"/>
      <c r="P79" s="45"/>
    </row>
    <row r="80" spans="1:16">
      <c r="A80" s="42">
        <f t="shared" si="0"/>
        <v>66</v>
      </c>
      <c r="B80" s="44"/>
      <c r="C80" s="102" t="s">
        <v>99</v>
      </c>
      <c r="D80" s="23" t="s">
        <v>64</v>
      </c>
      <c r="E80" s="45">
        <f>(E79*0.25)</f>
        <v>12.67</v>
      </c>
      <c r="F80" s="45"/>
      <c r="G80" s="45"/>
      <c r="H80" s="45"/>
      <c r="I80" s="45"/>
      <c r="J80" s="45"/>
      <c r="K80" s="45"/>
      <c r="L80" s="45"/>
      <c r="M80" s="45"/>
      <c r="N80" s="16"/>
      <c r="O80" s="45"/>
      <c r="P80" s="45"/>
    </row>
    <row r="81" spans="1:16" ht="36">
      <c r="A81" s="42">
        <f t="shared" ref="A81:A144" si="1">A80+1</f>
        <v>67</v>
      </c>
      <c r="B81" s="54"/>
      <c r="C81" s="78" t="s">
        <v>108</v>
      </c>
      <c r="D81" s="23" t="s">
        <v>55</v>
      </c>
      <c r="E81" s="45">
        <v>0.15</v>
      </c>
      <c r="F81" s="45"/>
      <c r="G81" s="16"/>
      <c r="H81" s="45"/>
      <c r="I81" s="45"/>
      <c r="J81" s="16"/>
      <c r="K81" s="45"/>
      <c r="L81" s="45"/>
      <c r="M81" s="45"/>
      <c r="N81" s="45"/>
      <c r="O81" s="45"/>
      <c r="P81" s="45"/>
    </row>
    <row r="82" spans="1:16">
      <c r="A82" s="42">
        <f t="shared" si="1"/>
        <v>68</v>
      </c>
      <c r="B82" s="54"/>
      <c r="C82" s="48" t="s">
        <v>65</v>
      </c>
      <c r="D82" s="23" t="s">
        <v>20</v>
      </c>
      <c r="E82" s="24">
        <f>1.1*E81</f>
        <v>0.16500000000000001</v>
      </c>
      <c r="F82" s="45"/>
      <c r="G82" s="16"/>
      <c r="H82" s="45"/>
      <c r="I82" s="45"/>
      <c r="J82" s="45"/>
      <c r="K82" s="45"/>
      <c r="L82" s="47"/>
      <c r="M82" s="47"/>
      <c r="N82" s="45"/>
      <c r="O82" s="45"/>
      <c r="P82" s="45"/>
    </row>
    <row r="83" spans="1:16" ht="24">
      <c r="A83" s="42">
        <f t="shared" si="1"/>
        <v>69</v>
      </c>
      <c r="B83" s="54"/>
      <c r="C83" s="48" t="s">
        <v>56</v>
      </c>
      <c r="D83" s="23" t="s">
        <v>14</v>
      </c>
      <c r="E83" s="45">
        <v>30</v>
      </c>
      <c r="F83" s="45"/>
      <c r="G83" s="16"/>
      <c r="H83" s="45"/>
      <c r="I83" s="45"/>
      <c r="J83" s="45"/>
      <c r="K83" s="45"/>
      <c r="L83" s="47"/>
      <c r="M83" s="47"/>
      <c r="N83" s="45"/>
      <c r="O83" s="45"/>
      <c r="P83" s="45"/>
    </row>
    <row r="84" spans="1:16">
      <c r="A84" s="42">
        <f t="shared" si="1"/>
        <v>70</v>
      </c>
      <c r="B84" s="54"/>
      <c r="C84" s="46" t="s">
        <v>57</v>
      </c>
      <c r="D84" s="23" t="s">
        <v>58</v>
      </c>
      <c r="E84" s="45">
        <f>5.3*E81</f>
        <v>0.79499999999999993</v>
      </c>
      <c r="F84" s="45"/>
      <c r="G84" s="16"/>
      <c r="H84" s="45"/>
      <c r="I84" s="45"/>
      <c r="J84" s="45"/>
      <c r="K84" s="45"/>
      <c r="L84" s="47"/>
      <c r="M84" s="47"/>
      <c r="N84" s="45"/>
      <c r="O84" s="45"/>
      <c r="P84" s="45"/>
    </row>
    <row r="85" spans="1:16">
      <c r="A85" s="42">
        <f t="shared" si="1"/>
        <v>71</v>
      </c>
      <c r="B85" s="54"/>
      <c r="C85" s="46" t="s">
        <v>59</v>
      </c>
      <c r="D85" s="23" t="s">
        <v>60</v>
      </c>
      <c r="E85" s="45">
        <f>1*E81</f>
        <v>0.15</v>
      </c>
      <c r="F85" s="45"/>
      <c r="G85" s="16"/>
      <c r="H85" s="45"/>
      <c r="I85" s="45"/>
      <c r="J85" s="45"/>
      <c r="K85" s="45"/>
      <c r="L85" s="47"/>
      <c r="M85" s="47"/>
      <c r="N85" s="45"/>
      <c r="O85" s="45"/>
      <c r="P85" s="45"/>
    </row>
    <row r="86" spans="1:16" ht="24">
      <c r="A86" s="42">
        <f t="shared" si="1"/>
        <v>72</v>
      </c>
      <c r="B86" s="59"/>
      <c r="C86" s="71" t="s">
        <v>61</v>
      </c>
      <c r="D86" s="15" t="s">
        <v>62</v>
      </c>
      <c r="E86" s="16">
        <v>4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ht="24">
      <c r="A87" s="42">
        <f t="shared" si="1"/>
        <v>73</v>
      </c>
      <c r="B87" s="59"/>
      <c r="C87" s="60" t="s">
        <v>63</v>
      </c>
      <c r="D87" s="15" t="s">
        <v>64</v>
      </c>
      <c r="E87" s="16">
        <f>(0.015*E86)</f>
        <v>0.06</v>
      </c>
      <c r="F87" s="16"/>
      <c r="G87" s="16"/>
      <c r="H87" s="16"/>
      <c r="I87" s="16"/>
      <c r="J87" s="45"/>
      <c r="K87" s="45"/>
      <c r="L87" s="47"/>
      <c r="M87" s="47"/>
      <c r="N87" s="45"/>
      <c r="O87" s="45"/>
      <c r="P87" s="45"/>
    </row>
    <row r="88" spans="1:16">
      <c r="A88" s="42">
        <f t="shared" si="1"/>
        <v>74</v>
      </c>
      <c r="B88" s="54"/>
      <c r="C88" s="82" t="s">
        <v>105</v>
      </c>
      <c r="D88" s="23" t="s">
        <v>13</v>
      </c>
      <c r="E88" s="16">
        <v>3.61</v>
      </c>
      <c r="F88" s="45"/>
      <c r="G88" s="16"/>
      <c r="H88" s="45"/>
      <c r="I88" s="45"/>
      <c r="J88" s="16"/>
      <c r="K88" s="45"/>
      <c r="L88" s="45"/>
      <c r="M88" s="45"/>
      <c r="N88" s="45"/>
      <c r="O88" s="45"/>
      <c r="P88" s="45"/>
    </row>
    <row r="89" spans="1:16" ht="24">
      <c r="A89" s="42">
        <f t="shared" si="1"/>
        <v>75</v>
      </c>
      <c r="B89" s="44"/>
      <c r="C89" s="113" t="s">
        <v>106</v>
      </c>
      <c r="D89" s="23" t="s">
        <v>13</v>
      </c>
      <c r="E89" s="45">
        <f>1.1*E88</f>
        <v>3.9710000000000001</v>
      </c>
      <c r="F89" s="45"/>
      <c r="G89" s="45"/>
      <c r="H89" s="45"/>
      <c r="I89" s="45"/>
      <c r="J89" s="16"/>
      <c r="K89" s="45"/>
      <c r="L89" s="45"/>
      <c r="M89" s="45"/>
      <c r="N89" s="45"/>
      <c r="O89" s="45"/>
      <c r="P89" s="45"/>
    </row>
    <row r="90" spans="1:16">
      <c r="A90" s="42">
        <f t="shared" si="1"/>
        <v>76</v>
      </c>
      <c r="B90" s="44"/>
      <c r="C90" s="113" t="s">
        <v>38</v>
      </c>
      <c r="D90" s="23" t="s">
        <v>24</v>
      </c>
      <c r="E90" s="45">
        <v>1</v>
      </c>
      <c r="F90" s="45"/>
      <c r="G90" s="45"/>
      <c r="H90" s="45"/>
      <c r="I90" s="45"/>
      <c r="J90" s="16"/>
      <c r="K90" s="45"/>
      <c r="L90" s="45"/>
      <c r="M90" s="45"/>
      <c r="N90" s="45"/>
      <c r="O90" s="45"/>
      <c r="P90" s="45"/>
    </row>
    <row r="91" spans="1:16">
      <c r="A91" s="42">
        <f t="shared" si="1"/>
        <v>77</v>
      </c>
      <c r="B91" s="44"/>
      <c r="C91" s="101" t="s">
        <v>107</v>
      </c>
      <c r="D91" s="23" t="s">
        <v>13</v>
      </c>
      <c r="E91" s="16">
        <v>3.61</v>
      </c>
      <c r="F91" s="45"/>
      <c r="G91" s="43"/>
      <c r="H91" s="45"/>
      <c r="I91" s="45"/>
      <c r="J91" s="16"/>
      <c r="K91" s="45"/>
      <c r="L91" s="45"/>
      <c r="M91" s="45"/>
      <c r="N91" s="45"/>
      <c r="O91" s="45"/>
      <c r="P91" s="45"/>
    </row>
    <row r="92" spans="1:16">
      <c r="A92" s="42">
        <f t="shared" si="1"/>
        <v>78</v>
      </c>
      <c r="B92" s="44"/>
      <c r="C92" s="70" t="s">
        <v>92</v>
      </c>
      <c r="D92" s="23" t="s">
        <v>14</v>
      </c>
      <c r="E92" s="45">
        <f>E91/15</f>
        <v>0.24066666666666667</v>
      </c>
      <c r="F92" s="45"/>
      <c r="G92" s="45"/>
      <c r="H92" s="45"/>
      <c r="I92" s="45"/>
      <c r="J92" s="45"/>
      <c r="K92" s="45"/>
      <c r="L92" s="45"/>
      <c r="M92" s="45"/>
      <c r="N92" s="16"/>
      <c r="O92" s="45"/>
      <c r="P92" s="45"/>
    </row>
    <row r="93" spans="1:16">
      <c r="A93" s="42">
        <f t="shared" si="1"/>
        <v>79</v>
      </c>
      <c r="B93" s="44"/>
      <c r="C93" s="70" t="s">
        <v>93</v>
      </c>
      <c r="D93" s="23" t="s">
        <v>14</v>
      </c>
      <c r="E93" s="45">
        <f>E91/15</f>
        <v>0.24066666666666667</v>
      </c>
      <c r="F93" s="45"/>
      <c r="G93" s="45"/>
      <c r="H93" s="45"/>
      <c r="I93" s="45"/>
      <c r="J93" s="45"/>
      <c r="K93" s="45"/>
      <c r="L93" s="45"/>
      <c r="M93" s="45"/>
      <c r="N93" s="16"/>
      <c r="O93" s="45"/>
      <c r="P93" s="45"/>
    </row>
    <row r="94" spans="1:16">
      <c r="A94" s="42">
        <f t="shared" si="1"/>
        <v>80</v>
      </c>
      <c r="B94" s="44"/>
      <c r="C94" s="70" t="s">
        <v>94</v>
      </c>
      <c r="D94" s="23" t="s">
        <v>14</v>
      </c>
      <c r="E94" s="45">
        <f>E91/20</f>
        <v>0.18049999999999999</v>
      </c>
      <c r="F94" s="45"/>
      <c r="G94" s="45"/>
      <c r="H94" s="45"/>
      <c r="I94" s="45"/>
      <c r="J94" s="45"/>
      <c r="K94" s="45"/>
      <c r="L94" s="45"/>
      <c r="M94" s="45"/>
      <c r="N94" s="16"/>
      <c r="O94" s="45"/>
      <c r="P94" s="45"/>
    </row>
    <row r="95" spans="1:16">
      <c r="A95" s="42">
        <f t="shared" si="1"/>
        <v>81</v>
      </c>
      <c r="B95" s="44"/>
      <c r="C95" s="70" t="s">
        <v>95</v>
      </c>
      <c r="D95" s="23" t="s">
        <v>14</v>
      </c>
      <c r="E95" s="45">
        <f>E91/8</f>
        <v>0.45124999999999998</v>
      </c>
      <c r="F95" s="45"/>
      <c r="G95" s="45"/>
      <c r="H95" s="45"/>
      <c r="I95" s="45"/>
      <c r="J95" s="45"/>
      <c r="K95" s="45"/>
      <c r="L95" s="45"/>
      <c r="M95" s="45"/>
      <c r="N95" s="16"/>
      <c r="O95" s="45"/>
      <c r="P95" s="45"/>
    </row>
    <row r="96" spans="1:16">
      <c r="A96" s="42">
        <f t="shared" si="1"/>
        <v>82</v>
      </c>
      <c r="B96" s="44"/>
      <c r="C96" s="101" t="s">
        <v>96</v>
      </c>
      <c r="D96" s="23" t="s">
        <v>13</v>
      </c>
      <c r="E96" s="16">
        <v>3.61</v>
      </c>
      <c r="F96" s="45"/>
      <c r="G96" s="43"/>
      <c r="H96" s="45"/>
      <c r="I96" s="45"/>
      <c r="J96" s="16"/>
      <c r="K96" s="45"/>
      <c r="L96" s="45"/>
      <c r="M96" s="45"/>
      <c r="N96" s="45"/>
      <c r="O96" s="45"/>
      <c r="P96" s="45"/>
    </row>
    <row r="97" spans="1:16">
      <c r="A97" s="42">
        <f t="shared" si="1"/>
        <v>83</v>
      </c>
      <c r="B97" s="44"/>
      <c r="C97" s="102" t="s">
        <v>97</v>
      </c>
      <c r="D97" s="23" t="s">
        <v>64</v>
      </c>
      <c r="E97" s="45">
        <f>(E96*0.1)</f>
        <v>0.36099999999999999</v>
      </c>
      <c r="F97" s="45"/>
      <c r="G97" s="45"/>
      <c r="H97" s="45"/>
      <c r="I97" s="45"/>
      <c r="J97" s="45"/>
      <c r="K97" s="45"/>
      <c r="L97" s="45"/>
      <c r="M97" s="45"/>
      <c r="N97" s="16"/>
      <c r="O97" s="45"/>
      <c r="P97" s="45"/>
    </row>
    <row r="98" spans="1:16">
      <c r="A98" s="42">
        <f t="shared" si="1"/>
        <v>84</v>
      </c>
      <c r="B98" s="44"/>
      <c r="C98" s="101" t="s">
        <v>98</v>
      </c>
      <c r="D98" s="23" t="s">
        <v>13</v>
      </c>
      <c r="E98" s="16">
        <v>3.61</v>
      </c>
      <c r="F98" s="45"/>
      <c r="G98" s="43"/>
      <c r="H98" s="45"/>
      <c r="I98" s="45"/>
      <c r="J98" s="16"/>
      <c r="K98" s="45"/>
      <c r="L98" s="45"/>
      <c r="M98" s="45"/>
      <c r="N98" s="45"/>
      <c r="O98" s="45"/>
      <c r="P98" s="45"/>
    </row>
    <row r="99" spans="1:16">
      <c r="A99" s="42">
        <f t="shared" si="1"/>
        <v>85</v>
      </c>
      <c r="B99" s="44"/>
      <c r="C99" s="102" t="s">
        <v>99</v>
      </c>
      <c r="D99" s="23" t="s">
        <v>64</v>
      </c>
      <c r="E99" s="45">
        <f>(E98*0.25)</f>
        <v>0.90249999999999997</v>
      </c>
      <c r="F99" s="45"/>
      <c r="G99" s="45"/>
      <c r="H99" s="45"/>
      <c r="I99" s="45"/>
      <c r="J99" s="45"/>
      <c r="K99" s="45"/>
      <c r="L99" s="45"/>
      <c r="M99" s="45"/>
      <c r="N99" s="16"/>
      <c r="O99" s="45"/>
      <c r="P99" s="45"/>
    </row>
    <row r="100" spans="1:16">
      <c r="A100" s="42">
        <f t="shared" si="1"/>
        <v>86</v>
      </c>
      <c r="B100" s="44"/>
      <c r="C100" s="103" t="s">
        <v>100</v>
      </c>
      <c r="D100" s="23" t="s">
        <v>27</v>
      </c>
      <c r="E100" s="104">
        <v>59.52</v>
      </c>
      <c r="F100" s="93"/>
      <c r="G100" s="16"/>
      <c r="H100" s="93"/>
      <c r="I100" s="93"/>
      <c r="J100" s="93"/>
      <c r="K100" s="93"/>
      <c r="L100" s="93"/>
      <c r="M100" s="93"/>
      <c r="N100" s="93"/>
      <c r="O100" s="93"/>
      <c r="P100" s="93"/>
    </row>
    <row r="101" spans="1:16">
      <c r="A101" s="42">
        <f t="shared" si="1"/>
        <v>87</v>
      </c>
      <c r="B101" s="44"/>
      <c r="C101" s="57" t="s">
        <v>101</v>
      </c>
      <c r="D101" s="23" t="s">
        <v>66</v>
      </c>
      <c r="E101" s="93">
        <f>1.05*E100</f>
        <v>62.496000000000009</v>
      </c>
      <c r="F101" s="93"/>
      <c r="G101" s="16"/>
      <c r="H101" s="93"/>
      <c r="I101" s="105"/>
      <c r="J101" s="45"/>
      <c r="K101" s="45"/>
      <c r="L101" s="45"/>
      <c r="M101" s="45"/>
      <c r="N101" s="16"/>
      <c r="O101" s="45"/>
      <c r="P101" s="45"/>
    </row>
    <row r="102" spans="1:16">
      <c r="A102" s="42">
        <f t="shared" si="1"/>
        <v>88</v>
      </c>
      <c r="B102" s="106"/>
      <c r="C102" s="107" t="s">
        <v>102</v>
      </c>
      <c r="D102" s="108" t="s">
        <v>14</v>
      </c>
      <c r="E102" s="109">
        <f>E100/0.4</f>
        <v>148.80000000000001</v>
      </c>
      <c r="F102" s="109"/>
      <c r="G102" s="110"/>
      <c r="H102" s="109"/>
      <c r="I102" s="111"/>
      <c r="J102" s="112"/>
      <c r="K102" s="112"/>
      <c r="L102" s="112"/>
      <c r="M102" s="112"/>
      <c r="N102" s="110"/>
      <c r="O102" s="112"/>
      <c r="P102" s="112"/>
    </row>
    <row r="103" spans="1:16" ht="36">
      <c r="A103" s="42">
        <f t="shared" si="1"/>
        <v>89</v>
      </c>
      <c r="B103" s="54"/>
      <c r="C103" s="78" t="s">
        <v>108</v>
      </c>
      <c r="D103" s="23" t="s">
        <v>55</v>
      </c>
      <c r="E103" s="45">
        <v>0.69</v>
      </c>
      <c r="F103" s="45"/>
      <c r="G103" s="16"/>
      <c r="H103" s="45"/>
      <c r="I103" s="45"/>
      <c r="J103" s="16"/>
      <c r="K103" s="45"/>
      <c r="L103" s="45"/>
      <c r="M103" s="45"/>
      <c r="N103" s="45"/>
      <c r="O103" s="45"/>
      <c r="P103" s="45"/>
    </row>
    <row r="104" spans="1:16">
      <c r="A104" s="42">
        <f t="shared" si="1"/>
        <v>90</v>
      </c>
      <c r="B104" s="54"/>
      <c r="C104" s="48" t="s">
        <v>65</v>
      </c>
      <c r="D104" s="23" t="s">
        <v>20</v>
      </c>
      <c r="E104" s="24">
        <f>1.1*E103</f>
        <v>0.75900000000000001</v>
      </c>
      <c r="F104" s="45"/>
      <c r="G104" s="16"/>
      <c r="H104" s="45"/>
      <c r="I104" s="45"/>
      <c r="J104" s="45"/>
      <c r="K104" s="45"/>
      <c r="L104" s="47"/>
      <c r="M104" s="47"/>
      <c r="N104" s="45"/>
      <c r="O104" s="45"/>
      <c r="P104" s="45"/>
    </row>
    <row r="105" spans="1:16" ht="24">
      <c r="A105" s="42">
        <f t="shared" si="1"/>
        <v>91</v>
      </c>
      <c r="B105" s="54"/>
      <c r="C105" s="48" t="s">
        <v>56</v>
      </c>
      <c r="D105" s="23" t="s">
        <v>14</v>
      </c>
      <c r="E105" s="45">
        <v>30</v>
      </c>
      <c r="F105" s="45"/>
      <c r="G105" s="16"/>
      <c r="H105" s="45"/>
      <c r="I105" s="45"/>
      <c r="J105" s="45"/>
      <c r="K105" s="45"/>
      <c r="L105" s="47"/>
      <c r="M105" s="47"/>
      <c r="N105" s="45"/>
      <c r="O105" s="45"/>
      <c r="P105" s="45"/>
    </row>
    <row r="106" spans="1:16">
      <c r="A106" s="42">
        <f t="shared" si="1"/>
        <v>92</v>
      </c>
      <c r="B106" s="54"/>
      <c r="C106" s="46" t="s">
        <v>57</v>
      </c>
      <c r="D106" s="23" t="s">
        <v>58</v>
      </c>
      <c r="E106" s="45">
        <f>5.3*E103</f>
        <v>3.6569999999999996</v>
      </c>
      <c r="F106" s="45"/>
      <c r="G106" s="16"/>
      <c r="H106" s="45"/>
      <c r="I106" s="45"/>
      <c r="J106" s="45"/>
      <c r="K106" s="45"/>
      <c r="L106" s="47"/>
      <c r="M106" s="47"/>
      <c r="N106" s="45"/>
      <c r="O106" s="45"/>
      <c r="P106" s="45"/>
    </row>
    <row r="107" spans="1:16">
      <c r="A107" s="42">
        <f t="shared" si="1"/>
        <v>93</v>
      </c>
      <c r="B107" s="54"/>
      <c r="C107" s="46" t="s">
        <v>59</v>
      </c>
      <c r="D107" s="23" t="s">
        <v>60</v>
      </c>
      <c r="E107" s="45">
        <f>1*E103</f>
        <v>0.69</v>
      </c>
      <c r="F107" s="45"/>
      <c r="G107" s="16"/>
      <c r="H107" s="45"/>
      <c r="I107" s="45"/>
      <c r="J107" s="45"/>
      <c r="K107" s="45"/>
      <c r="L107" s="47"/>
      <c r="M107" s="47"/>
      <c r="N107" s="45"/>
      <c r="O107" s="45"/>
      <c r="P107" s="45"/>
    </row>
    <row r="108" spans="1:16" ht="24">
      <c r="A108" s="42">
        <f t="shared" si="1"/>
        <v>94</v>
      </c>
      <c r="B108" s="59"/>
      <c r="C108" s="71" t="s">
        <v>61</v>
      </c>
      <c r="D108" s="15" t="s">
        <v>62</v>
      </c>
      <c r="E108" s="16">
        <v>33.119999999999997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 ht="24">
      <c r="A109" s="42">
        <f t="shared" si="1"/>
        <v>95</v>
      </c>
      <c r="B109" s="59"/>
      <c r="C109" s="60" t="s">
        <v>63</v>
      </c>
      <c r="D109" s="15" t="s">
        <v>64</v>
      </c>
      <c r="E109" s="16">
        <f>(0.015*E108)</f>
        <v>0.49679999999999996</v>
      </c>
      <c r="F109" s="16"/>
      <c r="G109" s="16"/>
      <c r="H109" s="16"/>
      <c r="I109" s="16"/>
      <c r="J109" s="45"/>
      <c r="K109" s="45"/>
      <c r="L109" s="47"/>
      <c r="M109" s="47"/>
      <c r="N109" s="45"/>
      <c r="O109" s="45"/>
      <c r="P109" s="45"/>
    </row>
    <row r="110" spans="1:16" ht="24">
      <c r="A110" s="42">
        <f t="shared" si="1"/>
        <v>96</v>
      </c>
      <c r="B110" s="114"/>
      <c r="C110" s="92" t="s">
        <v>109</v>
      </c>
      <c r="D110" s="15" t="s">
        <v>13</v>
      </c>
      <c r="E110" s="18">
        <v>20.11</v>
      </c>
      <c r="F110" s="16"/>
      <c r="G110" s="43"/>
      <c r="H110" s="16"/>
      <c r="I110" s="16"/>
      <c r="J110" s="43"/>
      <c r="K110" s="16"/>
      <c r="L110" s="16"/>
      <c r="M110" s="16"/>
      <c r="N110" s="16"/>
      <c r="O110" s="16"/>
      <c r="P110" s="16"/>
    </row>
    <row r="111" spans="1:16" ht="36">
      <c r="A111" s="42">
        <f t="shared" si="1"/>
        <v>97</v>
      </c>
      <c r="B111" s="17"/>
      <c r="C111" s="66" t="s">
        <v>110</v>
      </c>
      <c r="D111" s="15" t="s">
        <v>13</v>
      </c>
      <c r="E111" s="18">
        <f>1.1*E110</f>
        <v>22.121000000000002</v>
      </c>
      <c r="F111" s="16"/>
      <c r="G111" s="16"/>
      <c r="H111" s="16"/>
      <c r="I111" s="16"/>
      <c r="J111" s="45"/>
      <c r="K111" s="45"/>
      <c r="L111" s="45"/>
      <c r="M111" s="45"/>
      <c r="N111" s="16"/>
      <c r="O111" s="45"/>
      <c r="P111" s="45"/>
    </row>
    <row r="112" spans="1:16">
      <c r="A112" s="42">
        <f t="shared" si="1"/>
        <v>98</v>
      </c>
      <c r="B112" s="17"/>
      <c r="C112" s="66" t="s">
        <v>111</v>
      </c>
      <c r="D112" s="15" t="s">
        <v>112</v>
      </c>
      <c r="E112" s="18">
        <f>25*E110/100</f>
        <v>5.0274999999999999</v>
      </c>
      <c r="F112" s="16"/>
      <c r="G112" s="16"/>
      <c r="H112" s="16"/>
      <c r="I112" s="16"/>
      <c r="J112" s="45"/>
      <c r="K112" s="45"/>
      <c r="L112" s="45"/>
      <c r="M112" s="45"/>
      <c r="N112" s="16"/>
      <c r="O112" s="45"/>
      <c r="P112" s="45"/>
    </row>
    <row r="113" spans="1:16">
      <c r="A113" s="42">
        <f t="shared" si="1"/>
        <v>99</v>
      </c>
      <c r="B113" s="17"/>
      <c r="C113" s="66" t="s">
        <v>113</v>
      </c>
      <c r="D113" s="15" t="s">
        <v>14</v>
      </c>
      <c r="E113" s="18">
        <f>50*2*E110/310</f>
        <v>6.4870967741935486</v>
      </c>
      <c r="F113" s="16"/>
      <c r="G113" s="16"/>
      <c r="H113" s="16"/>
      <c r="I113" s="16"/>
      <c r="J113" s="45"/>
      <c r="K113" s="45"/>
      <c r="L113" s="45"/>
      <c r="M113" s="45"/>
      <c r="N113" s="16"/>
      <c r="O113" s="45"/>
      <c r="P113" s="45"/>
    </row>
    <row r="114" spans="1:16">
      <c r="A114" s="42">
        <f t="shared" si="1"/>
        <v>100</v>
      </c>
      <c r="B114" s="17"/>
      <c r="C114" s="66" t="s">
        <v>114</v>
      </c>
      <c r="D114" s="15" t="s">
        <v>64</v>
      </c>
      <c r="E114" s="18">
        <f>50*E110/1000</f>
        <v>1.0055000000000001</v>
      </c>
      <c r="F114" s="16"/>
      <c r="G114" s="16"/>
      <c r="H114" s="16"/>
      <c r="I114" s="16"/>
      <c r="J114" s="45"/>
      <c r="K114" s="45"/>
      <c r="L114" s="45"/>
      <c r="M114" s="45"/>
      <c r="N114" s="16"/>
      <c r="O114" s="45"/>
      <c r="P114" s="45"/>
    </row>
    <row r="115" spans="1:16" ht="24">
      <c r="A115" s="42">
        <f t="shared" si="1"/>
        <v>101</v>
      </c>
      <c r="B115" s="44"/>
      <c r="C115" s="71" t="s">
        <v>67</v>
      </c>
      <c r="D115" s="15" t="s">
        <v>13</v>
      </c>
      <c r="E115" s="18">
        <v>20.11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>
      <c r="A116" s="42">
        <f t="shared" si="1"/>
        <v>102</v>
      </c>
      <c r="B116" s="59"/>
      <c r="C116" s="61" t="s">
        <v>68</v>
      </c>
      <c r="D116" s="59" t="s">
        <v>20</v>
      </c>
      <c r="E116" s="56">
        <f>E115*(50/1000)*0.05*1.1</f>
        <v>5.5302500000000011E-2</v>
      </c>
      <c r="F116" s="16"/>
      <c r="G116" s="16"/>
      <c r="H116" s="16"/>
      <c r="I116" s="45"/>
      <c r="J116" s="16"/>
      <c r="K116" s="45"/>
      <c r="L116" s="47"/>
      <c r="M116" s="47"/>
      <c r="N116" s="45"/>
      <c r="O116" s="45"/>
      <c r="P116" s="45"/>
    </row>
    <row r="117" spans="1:16">
      <c r="A117" s="42">
        <f t="shared" si="1"/>
        <v>103</v>
      </c>
      <c r="B117" s="59"/>
      <c r="C117" s="61" t="s">
        <v>69</v>
      </c>
      <c r="D117" s="59" t="s">
        <v>58</v>
      </c>
      <c r="E117" s="56">
        <f>((E115/0.3)*4.44)/1000</f>
        <v>0.29762800000000006</v>
      </c>
      <c r="F117" s="16"/>
      <c r="G117" s="16"/>
      <c r="H117" s="16"/>
      <c r="I117" s="16"/>
      <c r="J117" s="16"/>
      <c r="K117" s="45"/>
      <c r="L117" s="47"/>
      <c r="M117" s="47"/>
      <c r="N117" s="45"/>
      <c r="O117" s="45"/>
      <c r="P117" s="45"/>
    </row>
    <row r="118" spans="1:16" ht="24">
      <c r="A118" s="42">
        <f t="shared" si="1"/>
        <v>104</v>
      </c>
      <c r="B118" s="59"/>
      <c r="C118" s="71" t="s">
        <v>61</v>
      </c>
      <c r="D118" s="15" t="s">
        <v>62</v>
      </c>
      <c r="E118" s="16">
        <f>E116*0.2/(0.05*0.05)</f>
        <v>4.4241999999999999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6" ht="24">
      <c r="A119" s="42">
        <f t="shared" si="1"/>
        <v>105</v>
      </c>
      <c r="B119" s="59"/>
      <c r="C119" s="60" t="s">
        <v>63</v>
      </c>
      <c r="D119" s="15" t="s">
        <v>64</v>
      </c>
      <c r="E119" s="16">
        <f>(0.015*E118)</f>
        <v>6.6362999999999991E-2</v>
      </c>
      <c r="F119" s="16"/>
      <c r="G119" s="16"/>
      <c r="H119" s="16"/>
      <c r="I119" s="16"/>
      <c r="J119" s="45"/>
      <c r="K119" s="45"/>
      <c r="L119" s="47"/>
      <c r="M119" s="47"/>
      <c r="N119" s="45"/>
      <c r="O119" s="45"/>
      <c r="P119" s="45"/>
    </row>
    <row r="120" spans="1:16">
      <c r="A120" s="42">
        <f t="shared" si="1"/>
        <v>106</v>
      </c>
      <c r="B120" s="44"/>
      <c r="C120" s="79" t="s">
        <v>130</v>
      </c>
      <c r="D120" s="54" t="s">
        <v>13</v>
      </c>
      <c r="E120" s="18">
        <v>20.11</v>
      </c>
      <c r="F120" s="55"/>
      <c r="G120" s="16"/>
      <c r="H120" s="55"/>
      <c r="I120" s="56"/>
      <c r="J120" s="56"/>
      <c r="K120" s="55"/>
      <c r="L120" s="55"/>
      <c r="M120" s="55"/>
      <c r="N120" s="55"/>
      <c r="O120" s="55"/>
      <c r="P120" s="55"/>
    </row>
    <row r="121" spans="1:16">
      <c r="A121" s="42">
        <f t="shared" si="1"/>
        <v>107</v>
      </c>
      <c r="B121" s="59"/>
      <c r="C121" s="48" t="s">
        <v>131</v>
      </c>
      <c r="D121" s="23" t="s">
        <v>13</v>
      </c>
      <c r="E121" s="45">
        <f>E120*1.25</f>
        <v>25.137499999999999</v>
      </c>
      <c r="F121" s="45"/>
      <c r="G121" s="16"/>
      <c r="H121" s="45"/>
      <c r="I121" s="45"/>
      <c r="J121" s="16"/>
      <c r="K121" s="45"/>
      <c r="L121" s="47"/>
      <c r="M121" s="47"/>
      <c r="N121" s="45"/>
      <c r="O121" s="45"/>
      <c r="P121" s="45"/>
    </row>
    <row r="122" spans="1:16" ht="24">
      <c r="A122" s="42">
        <f t="shared" si="1"/>
        <v>108</v>
      </c>
      <c r="B122" s="59"/>
      <c r="C122" s="92" t="s">
        <v>115</v>
      </c>
      <c r="D122" s="15" t="s">
        <v>62</v>
      </c>
      <c r="E122" s="18">
        <v>20.11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>
      <c r="A123" s="42">
        <f t="shared" si="1"/>
        <v>109</v>
      </c>
      <c r="B123" s="59"/>
      <c r="C123" s="63" t="s">
        <v>116</v>
      </c>
      <c r="D123" s="15" t="s">
        <v>13</v>
      </c>
      <c r="E123" s="16">
        <f>E122*1.1*2</f>
        <v>44.242000000000004</v>
      </c>
      <c r="F123" s="16"/>
      <c r="G123" s="16"/>
      <c r="H123" s="16"/>
      <c r="I123" s="16"/>
      <c r="J123" s="45"/>
      <c r="K123" s="45"/>
      <c r="L123" s="45"/>
      <c r="M123" s="45"/>
      <c r="N123" s="16"/>
      <c r="O123" s="45"/>
      <c r="P123" s="45"/>
    </row>
    <row r="124" spans="1:16">
      <c r="A124" s="42">
        <f t="shared" si="1"/>
        <v>110</v>
      </c>
      <c r="B124" s="44"/>
      <c r="C124" s="115" t="s">
        <v>117</v>
      </c>
      <c r="D124" s="23" t="s">
        <v>62</v>
      </c>
      <c r="E124" s="18">
        <v>20.11</v>
      </c>
      <c r="F124" s="45"/>
      <c r="G124" s="16"/>
      <c r="H124" s="45"/>
      <c r="I124" s="45"/>
      <c r="J124" s="16"/>
      <c r="K124" s="45"/>
      <c r="L124" s="45"/>
      <c r="M124" s="45"/>
      <c r="N124" s="45"/>
      <c r="O124" s="45"/>
      <c r="P124" s="45"/>
    </row>
    <row r="125" spans="1:16">
      <c r="A125" s="42">
        <f t="shared" si="1"/>
        <v>111</v>
      </c>
      <c r="B125" s="44"/>
      <c r="C125" s="113" t="s">
        <v>118</v>
      </c>
      <c r="D125" s="23" t="s">
        <v>13</v>
      </c>
      <c r="E125" s="45">
        <f>E124*1.2</f>
        <v>24.131999999999998</v>
      </c>
      <c r="F125" s="45"/>
      <c r="G125" s="45"/>
      <c r="H125" s="45"/>
      <c r="I125" s="45"/>
      <c r="J125" s="45"/>
      <c r="K125" s="45"/>
      <c r="L125" s="45"/>
      <c r="M125" s="45"/>
      <c r="N125" s="16"/>
      <c r="O125" s="45"/>
      <c r="P125" s="45"/>
    </row>
    <row r="126" spans="1:16" ht="24">
      <c r="A126" s="42">
        <f t="shared" si="1"/>
        <v>112</v>
      </c>
      <c r="B126" s="73"/>
      <c r="C126" s="75" t="s">
        <v>119</v>
      </c>
      <c r="D126" s="15" t="s">
        <v>13</v>
      </c>
      <c r="E126" s="18">
        <v>20.11</v>
      </c>
      <c r="F126" s="67"/>
      <c r="G126" s="16"/>
      <c r="H126" s="43"/>
      <c r="I126" s="43"/>
      <c r="J126" s="16"/>
      <c r="K126" s="43"/>
      <c r="L126" s="43"/>
      <c r="M126" s="43"/>
      <c r="N126" s="43"/>
      <c r="O126" s="43"/>
      <c r="P126" s="43"/>
    </row>
    <row r="127" spans="1:16">
      <c r="A127" s="42">
        <f t="shared" si="1"/>
        <v>113</v>
      </c>
      <c r="B127" s="116"/>
      <c r="C127" s="63" t="s">
        <v>120</v>
      </c>
      <c r="D127" s="15" t="s">
        <v>13</v>
      </c>
      <c r="E127" s="16">
        <f>E126*1.1</f>
        <v>22.121000000000002</v>
      </c>
      <c r="F127" s="81"/>
      <c r="G127" s="81"/>
      <c r="H127" s="81"/>
      <c r="I127" s="16"/>
      <c r="J127" s="45"/>
      <c r="K127" s="45"/>
      <c r="L127" s="45"/>
      <c r="M127" s="45"/>
      <c r="N127" s="16"/>
      <c r="O127" s="45"/>
      <c r="P127" s="45"/>
    </row>
    <row r="128" spans="1:16" ht="24">
      <c r="A128" s="42">
        <f t="shared" si="1"/>
        <v>114</v>
      </c>
      <c r="B128" s="17"/>
      <c r="C128" s="62" t="s">
        <v>121</v>
      </c>
      <c r="D128" s="15" t="s">
        <v>60</v>
      </c>
      <c r="E128" s="16">
        <f>E126*16/100</f>
        <v>3.2176</v>
      </c>
      <c r="F128" s="16"/>
      <c r="G128" s="16"/>
      <c r="H128" s="16"/>
      <c r="I128" s="16"/>
      <c r="J128" s="45"/>
      <c r="K128" s="45"/>
      <c r="L128" s="45"/>
      <c r="M128" s="45"/>
      <c r="N128" s="16"/>
      <c r="O128" s="45"/>
      <c r="P128" s="45"/>
    </row>
    <row r="129" spans="1:16">
      <c r="A129" s="42">
        <f t="shared" si="1"/>
        <v>115</v>
      </c>
      <c r="B129" s="114"/>
      <c r="C129" s="87" t="s">
        <v>122</v>
      </c>
      <c r="D129" s="117" t="s">
        <v>13</v>
      </c>
      <c r="E129" s="18">
        <v>20.11</v>
      </c>
      <c r="F129" s="21"/>
      <c r="G129" s="16"/>
      <c r="H129" s="21"/>
      <c r="I129" s="21"/>
      <c r="J129" s="16"/>
      <c r="K129" s="21"/>
      <c r="L129" s="21"/>
      <c r="M129" s="21"/>
      <c r="N129" s="21"/>
      <c r="O129" s="21"/>
      <c r="P129" s="21"/>
    </row>
    <row r="130" spans="1:16">
      <c r="A130" s="42">
        <f t="shared" si="1"/>
        <v>116</v>
      </c>
      <c r="B130" s="17"/>
      <c r="C130" s="63" t="s">
        <v>123</v>
      </c>
      <c r="D130" s="117" t="s">
        <v>25</v>
      </c>
      <c r="E130" s="21">
        <f>0.5*E129/5</f>
        <v>2.0110000000000001</v>
      </c>
      <c r="F130" s="21"/>
      <c r="G130" s="21"/>
      <c r="H130" s="21"/>
      <c r="I130" s="21"/>
      <c r="J130" s="45"/>
      <c r="K130" s="45"/>
      <c r="L130" s="45"/>
      <c r="M130" s="45"/>
      <c r="N130" s="16"/>
      <c r="O130" s="45"/>
      <c r="P130" s="45"/>
    </row>
    <row r="131" spans="1:16">
      <c r="A131" s="42">
        <f t="shared" si="1"/>
        <v>117</v>
      </c>
      <c r="B131" s="17"/>
      <c r="C131" s="63" t="s">
        <v>124</v>
      </c>
      <c r="D131" s="117" t="s">
        <v>25</v>
      </c>
      <c r="E131" s="21">
        <f>E130</f>
        <v>2.0110000000000001</v>
      </c>
      <c r="F131" s="21"/>
      <c r="G131" s="21"/>
      <c r="H131" s="21"/>
      <c r="I131" s="21"/>
      <c r="J131" s="45"/>
      <c r="K131" s="45"/>
      <c r="L131" s="45"/>
      <c r="M131" s="45"/>
      <c r="N131" s="16"/>
      <c r="O131" s="45"/>
      <c r="P131" s="45"/>
    </row>
    <row r="132" spans="1:16">
      <c r="A132" s="42">
        <f t="shared" si="1"/>
        <v>118</v>
      </c>
      <c r="B132" s="17"/>
      <c r="C132" s="83" t="s">
        <v>125</v>
      </c>
      <c r="D132" s="117" t="s">
        <v>13</v>
      </c>
      <c r="E132" s="18">
        <v>20.11</v>
      </c>
      <c r="F132" s="21"/>
      <c r="G132" s="16"/>
      <c r="H132" s="21"/>
      <c r="I132" s="21"/>
      <c r="J132" s="16"/>
      <c r="K132" s="21"/>
      <c r="L132" s="21"/>
      <c r="M132" s="21"/>
      <c r="N132" s="21"/>
      <c r="O132" s="21"/>
      <c r="P132" s="21"/>
    </row>
    <row r="133" spans="1:16">
      <c r="A133" s="42">
        <f t="shared" si="1"/>
        <v>119</v>
      </c>
      <c r="B133" s="17"/>
      <c r="C133" s="62" t="s">
        <v>126</v>
      </c>
      <c r="D133" s="117" t="s">
        <v>13</v>
      </c>
      <c r="E133" s="21">
        <f>1.1*E132</f>
        <v>22.121000000000002</v>
      </c>
      <c r="F133" s="21"/>
      <c r="G133" s="21"/>
      <c r="H133" s="21"/>
      <c r="I133" s="21"/>
      <c r="J133" s="45"/>
      <c r="K133" s="45"/>
      <c r="L133" s="45"/>
      <c r="M133" s="45"/>
      <c r="N133" s="16"/>
      <c r="O133" s="45"/>
      <c r="P133" s="45"/>
    </row>
    <row r="134" spans="1:16" ht="24">
      <c r="A134" s="42">
        <f t="shared" si="1"/>
        <v>120</v>
      </c>
      <c r="B134" s="17"/>
      <c r="C134" s="66" t="s">
        <v>127</v>
      </c>
      <c r="D134" s="15" t="s">
        <v>58</v>
      </c>
      <c r="E134" s="16">
        <f>(E132*2.2)</f>
        <v>44.242000000000004</v>
      </c>
      <c r="F134" s="16"/>
      <c r="G134" s="16"/>
      <c r="H134" s="16"/>
      <c r="I134" s="16"/>
      <c r="J134" s="45"/>
      <c r="K134" s="45"/>
      <c r="L134" s="45"/>
      <c r="M134" s="45"/>
      <c r="N134" s="16"/>
      <c r="O134" s="45"/>
      <c r="P134" s="45"/>
    </row>
    <row r="135" spans="1:16">
      <c r="A135" s="42">
        <f t="shared" si="1"/>
        <v>121</v>
      </c>
      <c r="B135" s="17"/>
      <c r="C135" s="63" t="s">
        <v>128</v>
      </c>
      <c r="D135" s="117" t="s">
        <v>14</v>
      </c>
      <c r="E135" s="21">
        <f>(E132*0.6)/2</f>
        <v>6.0329999999999995</v>
      </c>
      <c r="F135" s="21"/>
      <c r="G135" s="21"/>
      <c r="H135" s="21"/>
      <c r="I135" s="21"/>
      <c r="J135" s="45"/>
      <c r="K135" s="45"/>
      <c r="L135" s="45"/>
      <c r="M135" s="45"/>
      <c r="N135" s="16"/>
      <c r="O135" s="45"/>
      <c r="P135" s="45"/>
    </row>
    <row r="136" spans="1:16">
      <c r="A136" s="42">
        <f t="shared" si="1"/>
        <v>122</v>
      </c>
      <c r="B136" s="17"/>
      <c r="C136" s="63" t="s">
        <v>129</v>
      </c>
      <c r="D136" s="117" t="s">
        <v>14</v>
      </c>
      <c r="E136" s="21">
        <v>1</v>
      </c>
      <c r="F136" s="21"/>
      <c r="G136" s="21"/>
      <c r="H136" s="21"/>
      <c r="I136" s="21"/>
      <c r="J136" s="45"/>
      <c r="K136" s="45"/>
      <c r="L136" s="45"/>
      <c r="M136" s="45"/>
      <c r="N136" s="16"/>
      <c r="O136" s="45"/>
      <c r="P136" s="45"/>
    </row>
    <row r="137" spans="1:16">
      <c r="A137" s="42">
        <f t="shared" si="1"/>
        <v>123</v>
      </c>
      <c r="B137" s="44"/>
      <c r="C137" s="101" t="s">
        <v>132</v>
      </c>
      <c r="D137" s="23" t="s">
        <v>13</v>
      </c>
      <c r="E137" s="16">
        <v>12.67</v>
      </c>
      <c r="F137" s="45"/>
      <c r="G137" s="43"/>
      <c r="H137" s="45"/>
      <c r="I137" s="45"/>
      <c r="J137" s="16"/>
      <c r="K137" s="45"/>
      <c r="L137" s="45"/>
      <c r="M137" s="45"/>
      <c r="N137" s="45"/>
      <c r="O137" s="45"/>
      <c r="P137" s="45"/>
    </row>
    <row r="138" spans="1:16">
      <c r="A138" s="42">
        <f t="shared" si="1"/>
        <v>124</v>
      </c>
      <c r="B138" s="44"/>
      <c r="C138" s="70" t="s">
        <v>92</v>
      </c>
      <c r="D138" s="23" t="s">
        <v>14</v>
      </c>
      <c r="E138" s="45">
        <f>E137/15</f>
        <v>0.84466666666666668</v>
      </c>
      <c r="F138" s="45"/>
      <c r="G138" s="45"/>
      <c r="H138" s="45"/>
      <c r="I138" s="45"/>
      <c r="J138" s="45"/>
      <c r="K138" s="45"/>
      <c r="L138" s="45"/>
      <c r="M138" s="45"/>
      <c r="N138" s="16"/>
      <c r="O138" s="45"/>
      <c r="P138" s="45"/>
    </row>
    <row r="139" spans="1:16">
      <c r="A139" s="42">
        <f t="shared" si="1"/>
        <v>125</v>
      </c>
      <c r="B139" s="44"/>
      <c r="C139" s="70" t="s">
        <v>93</v>
      </c>
      <c r="D139" s="23" t="s">
        <v>14</v>
      </c>
      <c r="E139" s="45">
        <f>E137/15</f>
        <v>0.84466666666666668</v>
      </c>
      <c r="F139" s="45"/>
      <c r="G139" s="45"/>
      <c r="H139" s="45"/>
      <c r="I139" s="45"/>
      <c r="J139" s="45"/>
      <c r="K139" s="45"/>
      <c r="L139" s="45"/>
      <c r="M139" s="45"/>
      <c r="N139" s="16"/>
      <c r="O139" s="45"/>
      <c r="P139" s="45"/>
    </row>
    <row r="140" spans="1:16">
      <c r="A140" s="42">
        <f t="shared" si="1"/>
        <v>126</v>
      </c>
      <c r="B140" s="44"/>
      <c r="C140" s="70" t="s">
        <v>94</v>
      </c>
      <c r="D140" s="23" t="s">
        <v>14</v>
      </c>
      <c r="E140" s="45">
        <f>E137/20</f>
        <v>0.63349999999999995</v>
      </c>
      <c r="F140" s="45"/>
      <c r="G140" s="45"/>
      <c r="H140" s="45"/>
      <c r="I140" s="45"/>
      <c r="J140" s="45"/>
      <c r="K140" s="45"/>
      <c r="L140" s="45"/>
      <c r="M140" s="45"/>
      <c r="N140" s="16"/>
      <c r="O140" s="45"/>
      <c r="P140" s="45"/>
    </row>
    <row r="141" spans="1:16">
      <c r="A141" s="42">
        <f t="shared" si="1"/>
        <v>127</v>
      </c>
      <c r="B141" s="44"/>
      <c r="C141" s="70" t="s">
        <v>95</v>
      </c>
      <c r="D141" s="23" t="s">
        <v>14</v>
      </c>
      <c r="E141" s="45">
        <f>E137/8</f>
        <v>1.58375</v>
      </c>
      <c r="F141" s="45"/>
      <c r="G141" s="45"/>
      <c r="H141" s="45"/>
      <c r="I141" s="45"/>
      <c r="J141" s="45"/>
      <c r="K141" s="45"/>
      <c r="L141" s="45"/>
      <c r="M141" s="45"/>
      <c r="N141" s="16"/>
      <c r="O141" s="45"/>
      <c r="P141" s="45"/>
    </row>
    <row r="142" spans="1:16">
      <c r="A142" s="42">
        <f t="shared" si="1"/>
        <v>128</v>
      </c>
      <c r="B142" s="44"/>
      <c r="C142" s="101" t="s">
        <v>133</v>
      </c>
      <c r="D142" s="23" t="s">
        <v>13</v>
      </c>
      <c r="E142" s="16">
        <v>12.67</v>
      </c>
      <c r="F142" s="45"/>
      <c r="G142" s="43"/>
      <c r="H142" s="45"/>
      <c r="I142" s="45"/>
      <c r="J142" s="16"/>
      <c r="K142" s="45"/>
      <c r="L142" s="45"/>
      <c r="M142" s="45"/>
      <c r="N142" s="45"/>
      <c r="O142" s="45"/>
      <c r="P142" s="45"/>
    </row>
    <row r="143" spans="1:16">
      <c r="A143" s="42">
        <f t="shared" si="1"/>
        <v>129</v>
      </c>
      <c r="B143" s="44"/>
      <c r="C143" s="102" t="s">
        <v>97</v>
      </c>
      <c r="D143" s="23" t="s">
        <v>64</v>
      </c>
      <c r="E143" s="45">
        <f>(E142*0.1)</f>
        <v>1.2670000000000001</v>
      </c>
      <c r="F143" s="45"/>
      <c r="G143" s="45"/>
      <c r="H143" s="45"/>
      <c r="I143" s="45"/>
      <c r="J143" s="45"/>
      <c r="K143" s="45"/>
      <c r="L143" s="45"/>
      <c r="M143" s="45"/>
      <c r="N143" s="16"/>
      <c r="O143" s="45"/>
      <c r="P143" s="45"/>
    </row>
    <row r="144" spans="1:16">
      <c r="A144" s="42">
        <f t="shared" si="1"/>
        <v>130</v>
      </c>
      <c r="B144" s="44"/>
      <c r="C144" s="101" t="s">
        <v>134</v>
      </c>
      <c r="D144" s="23" t="s">
        <v>13</v>
      </c>
      <c r="E144" s="16">
        <v>12.67</v>
      </c>
      <c r="F144" s="45"/>
      <c r="G144" s="43"/>
      <c r="H144" s="45"/>
      <c r="I144" s="45"/>
      <c r="J144" s="16"/>
      <c r="K144" s="45"/>
      <c r="L144" s="45"/>
      <c r="M144" s="45"/>
      <c r="N144" s="45"/>
      <c r="O144" s="45"/>
      <c r="P144" s="45"/>
    </row>
    <row r="145" spans="1:16">
      <c r="A145" s="42">
        <f t="shared" ref="A145:A208" si="2">A144+1</f>
        <v>131</v>
      </c>
      <c r="B145" s="44"/>
      <c r="C145" s="102" t="s">
        <v>99</v>
      </c>
      <c r="D145" s="23" t="s">
        <v>64</v>
      </c>
      <c r="E145" s="45">
        <f>(E144*0.25)</f>
        <v>3.1675</v>
      </c>
      <c r="F145" s="45"/>
      <c r="G145" s="45"/>
      <c r="H145" s="45"/>
      <c r="I145" s="45"/>
      <c r="J145" s="45"/>
      <c r="K145" s="45"/>
      <c r="L145" s="45"/>
      <c r="M145" s="45"/>
      <c r="N145" s="16"/>
      <c r="O145" s="45"/>
      <c r="P145" s="45"/>
    </row>
    <row r="146" spans="1:16" ht="24">
      <c r="A146" s="42">
        <f t="shared" si="2"/>
        <v>132</v>
      </c>
      <c r="B146" s="17"/>
      <c r="C146" s="71" t="s">
        <v>135</v>
      </c>
      <c r="D146" s="15" t="s">
        <v>13</v>
      </c>
      <c r="E146" s="77">
        <v>7.43</v>
      </c>
      <c r="F146" s="16"/>
      <c r="G146" s="16"/>
      <c r="H146" s="16"/>
      <c r="I146" s="16"/>
      <c r="J146" s="45"/>
      <c r="K146" s="16"/>
      <c r="L146" s="16"/>
      <c r="M146" s="16"/>
      <c r="N146" s="16"/>
      <c r="O146" s="16"/>
      <c r="P146" s="16"/>
    </row>
    <row r="147" spans="1:16">
      <c r="A147" s="42">
        <f t="shared" si="2"/>
        <v>133</v>
      </c>
      <c r="B147" s="17"/>
      <c r="C147" s="60" t="s">
        <v>74</v>
      </c>
      <c r="D147" s="15" t="s">
        <v>20</v>
      </c>
      <c r="E147" s="16">
        <f>0.2*E146*1.3</f>
        <v>1.9318</v>
      </c>
      <c r="F147" s="16"/>
      <c r="G147" s="16"/>
      <c r="H147" s="16"/>
      <c r="I147" s="16"/>
      <c r="J147" s="45"/>
      <c r="K147" s="45"/>
      <c r="L147" s="47"/>
      <c r="M147" s="47"/>
      <c r="N147" s="45"/>
      <c r="O147" s="45"/>
      <c r="P147" s="45"/>
    </row>
    <row r="148" spans="1:16" ht="24">
      <c r="A148" s="42">
        <f t="shared" si="2"/>
        <v>134</v>
      </c>
      <c r="B148" s="17"/>
      <c r="C148" s="71" t="s">
        <v>136</v>
      </c>
      <c r="D148" s="15" t="s">
        <v>13</v>
      </c>
      <c r="E148" s="77">
        <v>7.43</v>
      </c>
      <c r="F148" s="16"/>
      <c r="G148" s="16"/>
      <c r="H148" s="16"/>
      <c r="I148" s="16"/>
      <c r="J148" s="45"/>
      <c r="K148" s="16"/>
      <c r="L148" s="16"/>
      <c r="M148" s="16"/>
      <c r="N148" s="16"/>
      <c r="O148" s="16"/>
      <c r="P148" s="16"/>
    </row>
    <row r="149" spans="1:16">
      <c r="A149" s="42">
        <f t="shared" si="2"/>
        <v>135</v>
      </c>
      <c r="B149" s="17"/>
      <c r="C149" s="60" t="s">
        <v>137</v>
      </c>
      <c r="D149" s="15" t="s">
        <v>20</v>
      </c>
      <c r="E149" s="16">
        <f>0.1*E148*1.3</f>
        <v>0.96589999999999998</v>
      </c>
      <c r="F149" s="16"/>
      <c r="G149" s="16"/>
      <c r="H149" s="16"/>
      <c r="I149" s="16"/>
      <c r="J149" s="45"/>
      <c r="K149" s="45"/>
      <c r="L149" s="47"/>
      <c r="M149" s="47"/>
      <c r="N149" s="45"/>
      <c r="O149" s="45"/>
      <c r="P149" s="45"/>
    </row>
    <row r="150" spans="1:16" ht="24">
      <c r="A150" s="42">
        <f t="shared" si="2"/>
        <v>136</v>
      </c>
      <c r="B150" s="17"/>
      <c r="C150" s="79" t="s">
        <v>138</v>
      </c>
      <c r="D150" s="23" t="s">
        <v>13</v>
      </c>
      <c r="E150" s="77">
        <v>7.43</v>
      </c>
      <c r="F150" s="45"/>
      <c r="G150" s="16"/>
      <c r="H150" s="45"/>
      <c r="I150" s="45"/>
      <c r="J150" s="45"/>
      <c r="K150" s="45"/>
      <c r="L150" s="45"/>
      <c r="M150" s="45"/>
      <c r="N150" s="45"/>
      <c r="O150" s="45"/>
      <c r="P150" s="45"/>
    </row>
    <row r="151" spans="1:16">
      <c r="A151" s="42">
        <f t="shared" si="2"/>
        <v>137</v>
      </c>
      <c r="B151" s="44"/>
      <c r="C151" s="48" t="s">
        <v>139</v>
      </c>
      <c r="D151" s="23" t="s">
        <v>13</v>
      </c>
      <c r="E151" s="45">
        <f>E150*1.2*2</f>
        <v>17.831999999999997</v>
      </c>
      <c r="F151" s="45"/>
      <c r="G151" s="16"/>
      <c r="H151" s="45"/>
      <c r="I151" s="45"/>
      <c r="J151" s="45"/>
      <c r="K151" s="45"/>
      <c r="L151" s="47"/>
      <c r="M151" s="47"/>
      <c r="N151" s="45"/>
      <c r="O151" s="45"/>
      <c r="P151" s="45"/>
    </row>
    <row r="152" spans="1:16" ht="24">
      <c r="A152" s="42">
        <f t="shared" si="2"/>
        <v>138</v>
      </c>
      <c r="B152" s="54"/>
      <c r="C152" s="79" t="s">
        <v>140</v>
      </c>
      <c r="D152" s="23" t="s">
        <v>13</v>
      </c>
      <c r="E152" s="77">
        <v>7.43</v>
      </c>
      <c r="F152" s="45"/>
      <c r="G152" s="16"/>
      <c r="H152" s="45"/>
      <c r="I152" s="16"/>
      <c r="J152" s="16"/>
      <c r="K152" s="45"/>
      <c r="L152" s="45"/>
      <c r="M152" s="45"/>
      <c r="N152" s="45"/>
      <c r="O152" s="45"/>
      <c r="P152" s="45"/>
    </row>
    <row r="153" spans="1:16">
      <c r="A153" s="42">
        <f t="shared" si="2"/>
        <v>139</v>
      </c>
      <c r="B153" s="44"/>
      <c r="C153" s="118" t="s">
        <v>141</v>
      </c>
      <c r="D153" s="119" t="s">
        <v>13</v>
      </c>
      <c r="E153" s="45">
        <f>E152*1.3</f>
        <v>9.6590000000000007</v>
      </c>
      <c r="F153" s="68"/>
      <c r="G153" s="16"/>
      <c r="H153" s="69"/>
      <c r="I153" s="69"/>
      <c r="J153" s="45"/>
      <c r="K153" s="45"/>
      <c r="L153" s="58"/>
      <c r="M153" s="58"/>
      <c r="N153" s="45"/>
      <c r="O153" s="45"/>
      <c r="P153" s="45"/>
    </row>
    <row r="154" spans="1:16" ht="24">
      <c r="A154" s="42">
        <f t="shared" si="2"/>
        <v>140</v>
      </c>
      <c r="B154" s="44"/>
      <c r="C154" s="48" t="s">
        <v>142</v>
      </c>
      <c r="D154" s="119" t="s">
        <v>14</v>
      </c>
      <c r="E154" s="45">
        <f>1.5*E152</f>
        <v>11.145</v>
      </c>
      <c r="F154" s="16"/>
      <c r="G154" s="16"/>
      <c r="H154" s="16"/>
      <c r="I154" s="16"/>
      <c r="J154" s="16"/>
      <c r="K154" s="45"/>
      <c r="L154" s="47"/>
      <c r="M154" s="47"/>
      <c r="N154" s="45"/>
      <c r="O154" s="45"/>
      <c r="P154" s="45"/>
    </row>
    <row r="155" spans="1:16" ht="24">
      <c r="A155" s="42">
        <f t="shared" si="2"/>
        <v>141</v>
      </c>
      <c r="B155" s="120"/>
      <c r="C155" s="48" t="s">
        <v>143</v>
      </c>
      <c r="D155" s="119" t="s">
        <v>14</v>
      </c>
      <c r="E155" s="24">
        <f>E152/1000</f>
        <v>7.43E-3</v>
      </c>
      <c r="F155" s="16"/>
      <c r="G155" s="16"/>
      <c r="H155" s="16"/>
      <c r="I155" s="16"/>
      <c r="J155" s="16"/>
      <c r="K155" s="45"/>
      <c r="L155" s="47"/>
      <c r="M155" s="47"/>
      <c r="N155" s="45"/>
      <c r="O155" s="45"/>
      <c r="P155" s="45"/>
    </row>
    <row r="156" spans="1:16" ht="24">
      <c r="A156" s="42">
        <f t="shared" si="2"/>
        <v>142</v>
      </c>
      <c r="B156" s="54"/>
      <c r="C156" s="71" t="s">
        <v>71</v>
      </c>
      <c r="D156" s="15" t="s">
        <v>13</v>
      </c>
      <c r="E156" s="77">
        <v>7.43</v>
      </c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>
      <c r="A157" s="42">
        <f t="shared" si="2"/>
        <v>143</v>
      </c>
      <c r="B157" s="17"/>
      <c r="C157" s="61" t="s">
        <v>72</v>
      </c>
      <c r="D157" s="59" t="s">
        <v>20</v>
      </c>
      <c r="E157" s="24">
        <f>1.05*E156*0.07</f>
        <v>0.54610500000000006</v>
      </c>
      <c r="F157" s="16"/>
      <c r="G157" s="16"/>
      <c r="H157" s="16"/>
      <c r="I157" s="16"/>
      <c r="J157" s="45"/>
      <c r="K157" s="45"/>
      <c r="L157" s="58"/>
      <c r="M157" s="58"/>
      <c r="N157" s="45"/>
      <c r="O157" s="45"/>
      <c r="P157" s="45"/>
    </row>
    <row r="158" spans="1:16">
      <c r="A158" s="42">
        <f t="shared" si="2"/>
        <v>144</v>
      </c>
      <c r="B158" s="17"/>
      <c r="C158" s="100" t="s">
        <v>147</v>
      </c>
      <c r="D158" s="7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16" ht="36">
      <c r="A159" s="42">
        <f t="shared" si="2"/>
        <v>145</v>
      </c>
      <c r="B159" s="133"/>
      <c r="C159" s="71" t="s">
        <v>165</v>
      </c>
      <c r="D159" s="15" t="s">
        <v>168</v>
      </c>
      <c r="E159" s="16">
        <v>5.51</v>
      </c>
      <c r="F159" s="134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16">
      <c r="A160" s="42">
        <f t="shared" si="2"/>
        <v>146</v>
      </c>
      <c r="B160" s="59"/>
      <c r="C160" s="61" t="s">
        <v>149</v>
      </c>
      <c r="D160" s="121" t="s">
        <v>14</v>
      </c>
      <c r="E160" s="16">
        <f>E159*0.4*1.2</f>
        <v>2.6448</v>
      </c>
      <c r="F160" s="16"/>
      <c r="G160" s="16"/>
      <c r="H160" s="16"/>
      <c r="I160" s="16"/>
      <c r="J160" s="16"/>
      <c r="K160" s="45"/>
      <c r="L160" s="47"/>
      <c r="M160" s="47"/>
      <c r="N160" s="45"/>
      <c r="O160" s="45"/>
      <c r="P160" s="45"/>
    </row>
    <row r="161" spans="1:16">
      <c r="A161" s="42">
        <f t="shared" si="2"/>
        <v>147</v>
      </c>
      <c r="B161" s="59"/>
      <c r="C161" s="61" t="s">
        <v>150</v>
      </c>
      <c r="D161" s="121" t="s">
        <v>14</v>
      </c>
      <c r="E161" s="16">
        <f>E160*10</f>
        <v>26.448</v>
      </c>
      <c r="F161" s="16"/>
      <c r="G161" s="16"/>
      <c r="H161" s="16"/>
      <c r="I161" s="16"/>
      <c r="J161" s="16"/>
      <c r="K161" s="45"/>
      <c r="L161" s="47"/>
      <c r="M161" s="47"/>
      <c r="N161" s="45"/>
      <c r="O161" s="45"/>
      <c r="P161" s="45"/>
    </row>
    <row r="162" spans="1:16">
      <c r="A162" s="42">
        <f t="shared" si="2"/>
        <v>148</v>
      </c>
      <c r="B162" s="59"/>
      <c r="C162" s="61" t="s">
        <v>151</v>
      </c>
      <c r="D162" s="121" t="s">
        <v>14</v>
      </c>
      <c r="E162" s="16">
        <f>E160*3/30</f>
        <v>0.26447999999999999</v>
      </c>
      <c r="F162" s="16"/>
      <c r="G162" s="16"/>
      <c r="H162" s="16"/>
      <c r="I162" s="16"/>
      <c r="J162" s="16"/>
      <c r="K162" s="45"/>
      <c r="L162" s="47"/>
      <c r="M162" s="47"/>
      <c r="N162" s="45"/>
      <c r="O162" s="45"/>
      <c r="P162" s="45"/>
    </row>
    <row r="163" spans="1:16">
      <c r="A163" s="42">
        <f t="shared" si="2"/>
        <v>149</v>
      </c>
      <c r="B163" s="59"/>
      <c r="C163" s="61" t="s">
        <v>152</v>
      </c>
      <c r="D163" s="121" t="s">
        <v>14</v>
      </c>
      <c r="E163" s="16">
        <f>((E159*0.8*1.1)*4)/3</f>
        <v>6.4650666666666678</v>
      </c>
      <c r="F163" s="16"/>
      <c r="G163" s="16"/>
      <c r="H163" s="16"/>
      <c r="I163" s="16"/>
      <c r="J163" s="16"/>
      <c r="K163" s="45"/>
      <c r="L163" s="47"/>
      <c r="M163" s="47"/>
      <c r="N163" s="45"/>
      <c r="O163" s="45"/>
      <c r="P163" s="45"/>
    </row>
    <row r="164" spans="1:16">
      <c r="A164" s="42">
        <f t="shared" si="2"/>
        <v>150</v>
      </c>
      <c r="B164" s="59"/>
      <c r="C164" s="61" t="s">
        <v>153</v>
      </c>
      <c r="D164" s="121" t="s">
        <v>14</v>
      </c>
      <c r="E164" s="16">
        <f>((E159*2.1*1.1)*1.19)/3</f>
        <v>5.048813</v>
      </c>
      <c r="F164" s="16"/>
      <c r="G164" s="16"/>
      <c r="H164" s="16"/>
      <c r="I164" s="16"/>
      <c r="J164" s="16"/>
      <c r="K164" s="45"/>
      <c r="L164" s="47"/>
      <c r="M164" s="47"/>
      <c r="N164" s="45"/>
      <c r="O164" s="45"/>
      <c r="P164" s="45"/>
    </row>
    <row r="165" spans="1:16">
      <c r="A165" s="42">
        <f t="shared" si="2"/>
        <v>151</v>
      </c>
      <c r="B165" s="59"/>
      <c r="C165" s="61" t="s">
        <v>154</v>
      </c>
      <c r="D165" s="121" t="s">
        <v>14</v>
      </c>
      <c r="E165" s="16">
        <f>E159*0.2</f>
        <v>1.1020000000000001</v>
      </c>
      <c r="F165" s="16"/>
      <c r="G165" s="16"/>
      <c r="H165" s="16"/>
      <c r="I165" s="16"/>
      <c r="J165" s="16"/>
      <c r="K165" s="45"/>
      <c r="L165" s="47"/>
      <c r="M165" s="47"/>
      <c r="N165" s="45"/>
      <c r="O165" s="45"/>
      <c r="P165" s="45"/>
    </row>
    <row r="166" spans="1:16">
      <c r="A166" s="42">
        <f t="shared" si="2"/>
        <v>152</v>
      </c>
      <c r="B166" s="59"/>
      <c r="C166" s="61" t="s">
        <v>155</v>
      </c>
      <c r="D166" s="121" t="s">
        <v>14</v>
      </c>
      <c r="E166" s="16">
        <f>E159/10</f>
        <v>0.55099999999999993</v>
      </c>
      <c r="F166" s="16"/>
      <c r="G166" s="16"/>
      <c r="H166" s="16"/>
      <c r="I166" s="16"/>
      <c r="J166" s="16"/>
      <c r="K166" s="45"/>
      <c r="L166" s="47"/>
      <c r="M166" s="47"/>
      <c r="N166" s="45"/>
      <c r="O166" s="45"/>
      <c r="P166" s="45"/>
    </row>
    <row r="167" spans="1:16">
      <c r="A167" s="42">
        <f t="shared" si="2"/>
        <v>153</v>
      </c>
      <c r="B167" s="59"/>
      <c r="C167" s="61" t="s">
        <v>156</v>
      </c>
      <c r="D167" s="121" t="s">
        <v>14</v>
      </c>
      <c r="E167" s="24">
        <f>E159*1.2</f>
        <v>6.6119999999999992</v>
      </c>
      <c r="F167" s="16"/>
      <c r="G167" s="16"/>
      <c r="H167" s="16"/>
      <c r="I167" s="16"/>
      <c r="J167" s="16"/>
      <c r="K167" s="45"/>
      <c r="L167" s="47"/>
      <c r="M167" s="47"/>
      <c r="N167" s="45"/>
      <c r="O167" s="45"/>
      <c r="P167" s="45"/>
    </row>
    <row r="168" spans="1:16">
      <c r="A168" s="42">
        <f t="shared" si="2"/>
        <v>154</v>
      </c>
      <c r="B168" s="59"/>
      <c r="C168" s="61" t="s">
        <v>157</v>
      </c>
      <c r="D168" s="121" t="s">
        <v>14</v>
      </c>
      <c r="E168" s="16">
        <f>E167*2</f>
        <v>13.223999999999998</v>
      </c>
      <c r="F168" s="16"/>
      <c r="G168" s="16"/>
      <c r="H168" s="16"/>
      <c r="I168" s="16"/>
      <c r="J168" s="16"/>
      <c r="K168" s="45"/>
      <c r="L168" s="47"/>
      <c r="M168" s="47"/>
      <c r="N168" s="45"/>
      <c r="O168" s="45"/>
      <c r="P168" s="45"/>
    </row>
    <row r="169" spans="1:16" ht="24">
      <c r="A169" s="42">
        <f t="shared" si="2"/>
        <v>155</v>
      </c>
      <c r="B169" s="59"/>
      <c r="C169" s="60" t="s">
        <v>158</v>
      </c>
      <c r="D169" s="15" t="s">
        <v>60</v>
      </c>
      <c r="E169" s="16">
        <f>6.8*E159/100</f>
        <v>0.37467999999999996</v>
      </c>
      <c r="F169" s="16"/>
      <c r="G169" s="16"/>
      <c r="H169" s="16"/>
      <c r="I169" s="16"/>
      <c r="J169" s="16"/>
      <c r="K169" s="45"/>
      <c r="L169" s="47"/>
      <c r="M169" s="47"/>
      <c r="N169" s="45"/>
      <c r="O169" s="45"/>
      <c r="P169" s="45"/>
    </row>
    <row r="170" spans="1:16" ht="24">
      <c r="A170" s="42">
        <f t="shared" si="2"/>
        <v>156</v>
      </c>
      <c r="B170" s="59"/>
      <c r="C170" s="60" t="s">
        <v>159</v>
      </c>
      <c r="D170" s="15" t="s">
        <v>14</v>
      </c>
      <c r="E170" s="16">
        <f>E159*1.7</f>
        <v>9.3669999999999991</v>
      </c>
      <c r="F170" s="16"/>
      <c r="G170" s="16"/>
      <c r="H170" s="16"/>
      <c r="I170" s="16"/>
      <c r="J170" s="16"/>
      <c r="K170" s="45"/>
      <c r="L170" s="47"/>
      <c r="M170" s="47"/>
      <c r="N170" s="45"/>
      <c r="O170" s="45"/>
      <c r="P170" s="45"/>
    </row>
    <row r="171" spans="1:16">
      <c r="A171" s="42">
        <f t="shared" si="2"/>
        <v>157</v>
      </c>
      <c r="B171" s="59"/>
      <c r="C171" s="60" t="s">
        <v>160</v>
      </c>
      <c r="D171" s="15" t="s">
        <v>13</v>
      </c>
      <c r="E171" s="16">
        <f>((E159*1.1))</f>
        <v>6.0609999999999999</v>
      </c>
      <c r="F171" s="16"/>
      <c r="G171" s="16"/>
      <c r="H171" s="16"/>
      <c r="I171" s="16"/>
      <c r="J171" s="16"/>
      <c r="K171" s="45"/>
      <c r="L171" s="47"/>
      <c r="M171" s="47"/>
      <c r="N171" s="45"/>
      <c r="O171" s="45"/>
      <c r="P171" s="45"/>
    </row>
    <row r="172" spans="1:16" ht="24">
      <c r="A172" s="42">
        <f t="shared" si="2"/>
        <v>158</v>
      </c>
      <c r="B172" s="59"/>
      <c r="C172" s="60" t="s">
        <v>161</v>
      </c>
      <c r="D172" s="15" t="s">
        <v>162</v>
      </c>
      <c r="E172" s="16">
        <f>10*E159/100</f>
        <v>0.55099999999999993</v>
      </c>
      <c r="F172" s="16"/>
      <c r="G172" s="16"/>
      <c r="H172" s="16"/>
      <c r="I172" s="16"/>
      <c r="J172" s="16"/>
      <c r="K172" s="45"/>
      <c r="L172" s="47"/>
      <c r="M172" s="47"/>
      <c r="N172" s="45"/>
      <c r="O172" s="45"/>
      <c r="P172" s="45"/>
    </row>
    <row r="173" spans="1:16" ht="24">
      <c r="A173" s="42">
        <f t="shared" si="2"/>
        <v>159</v>
      </c>
      <c r="B173" s="59"/>
      <c r="C173" s="60" t="s">
        <v>164</v>
      </c>
      <c r="D173" s="15" t="s">
        <v>14</v>
      </c>
      <c r="E173" s="16">
        <f>(E159*1.2*1.1)/90</f>
        <v>8.0813333333333334E-2</v>
      </c>
      <c r="F173" s="16"/>
      <c r="G173" s="16"/>
      <c r="H173" s="16"/>
      <c r="I173" s="16"/>
      <c r="J173" s="16"/>
      <c r="K173" s="45"/>
      <c r="L173" s="47"/>
      <c r="M173" s="47"/>
      <c r="N173" s="45"/>
      <c r="O173" s="45"/>
      <c r="P173" s="45"/>
    </row>
    <row r="174" spans="1:16">
      <c r="A174" s="42">
        <f t="shared" si="2"/>
        <v>160</v>
      </c>
      <c r="B174" s="59"/>
      <c r="C174" s="61" t="s">
        <v>84</v>
      </c>
      <c r="D174" s="15" t="s">
        <v>14</v>
      </c>
      <c r="E174" s="16">
        <f>(E159*0.5*1.1)/25</f>
        <v>0.12121999999999999</v>
      </c>
      <c r="F174" s="16"/>
      <c r="G174" s="16"/>
      <c r="H174" s="16"/>
      <c r="I174" s="16"/>
      <c r="J174" s="16"/>
      <c r="K174" s="45"/>
      <c r="L174" s="47"/>
      <c r="M174" s="47"/>
      <c r="N174" s="45"/>
      <c r="O174" s="45"/>
      <c r="P174" s="45"/>
    </row>
    <row r="175" spans="1:16" ht="36">
      <c r="A175" s="42">
        <f t="shared" si="2"/>
        <v>161</v>
      </c>
      <c r="B175" s="133"/>
      <c r="C175" s="71" t="s">
        <v>148</v>
      </c>
      <c r="D175" s="15" t="s">
        <v>168</v>
      </c>
      <c r="E175" s="16">
        <v>7.43</v>
      </c>
      <c r="F175" s="134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1:16">
      <c r="A176" s="42">
        <f t="shared" si="2"/>
        <v>162</v>
      </c>
      <c r="B176" s="59"/>
      <c r="C176" s="61" t="s">
        <v>149</v>
      </c>
      <c r="D176" s="121" t="s">
        <v>14</v>
      </c>
      <c r="E176" s="16">
        <f>E175*0.4*1.2</f>
        <v>3.5663999999999998</v>
      </c>
      <c r="F176" s="16"/>
      <c r="G176" s="16"/>
      <c r="H176" s="16"/>
      <c r="I176" s="16"/>
      <c r="J176" s="16"/>
      <c r="K176" s="45"/>
      <c r="L176" s="47"/>
      <c r="M176" s="47"/>
      <c r="N176" s="45"/>
      <c r="O176" s="45"/>
      <c r="P176" s="45"/>
    </row>
    <row r="177" spans="1:16">
      <c r="A177" s="42">
        <f t="shared" si="2"/>
        <v>163</v>
      </c>
      <c r="B177" s="59"/>
      <c r="C177" s="61" t="s">
        <v>150</v>
      </c>
      <c r="D177" s="121" t="s">
        <v>14</v>
      </c>
      <c r="E177" s="16">
        <f>E176*10</f>
        <v>35.664000000000001</v>
      </c>
      <c r="F177" s="16"/>
      <c r="G177" s="16"/>
      <c r="H177" s="16"/>
      <c r="I177" s="16"/>
      <c r="J177" s="16"/>
      <c r="K177" s="45"/>
      <c r="L177" s="47"/>
      <c r="M177" s="47"/>
      <c r="N177" s="45"/>
      <c r="O177" s="45"/>
      <c r="P177" s="45"/>
    </row>
    <row r="178" spans="1:16">
      <c r="A178" s="42">
        <f t="shared" si="2"/>
        <v>164</v>
      </c>
      <c r="B178" s="59"/>
      <c r="C178" s="61" t="s">
        <v>151</v>
      </c>
      <c r="D178" s="121" t="s">
        <v>14</v>
      </c>
      <c r="E178" s="16">
        <f>E176*3/30</f>
        <v>0.35663999999999996</v>
      </c>
      <c r="F178" s="16"/>
      <c r="G178" s="16"/>
      <c r="H178" s="16"/>
      <c r="I178" s="16"/>
      <c r="J178" s="16"/>
      <c r="K178" s="45"/>
      <c r="L178" s="47"/>
      <c r="M178" s="47"/>
      <c r="N178" s="45"/>
      <c r="O178" s="45"/>
      <c r="P178" s="45"/>
    </row>
    <row r="179" spans="1:16">
      <c r="A179" s="42">
        <f t="shared" si="2"/>
        <v>165</v>
      </c>
      <c r="B179" s="59"/>
      <c r="C179" s="61" t="s">
        <v>152</v>
      </c>
      <c r="D179" s="121" t="s">
        <v>14</v>
      </c>
      <c r="E179" s="16">
        <f>((E175*0.8*1.1)*4)/3</f>
        <v>8.7178666666666675</v>
      </c>
      <c r="F179" s="16"/>
      <c r="G179" s="16"/>
      <c r="H179" s="16"/>
      <c r="I179" s="16"/>
      <c r="J179" s="16"/>
      <c r="K179" s="45"/>
      <c r="L179" s="47"/>
      <c r="M179" s="47"/>
      <c r="N179" s="45"/>
      <c r="O179" s="45"/>
      <c r="P179" s="45"/>
    </row>
    <row r="180" spans="1:16">
      <c r="A180" s="42">
        <f t="shared" si="2"/>
        <v>166</v>
      </c>
      <c r="B180" s="59"/>
      <c r="C180" s="61" t="s">
        <v>153</v>
      </c>
      <c r="D180" s="121" t="s">
        <v>14</v>
      </c>
      <c r="E180" s="16">
        <f>((E175*2.1*1.1)*1.19)/3</f>
        <v>6.8081089999999991</v>
      </c>
      <c r="F180" s="16"/>
      <c r="G180" s="16"/>
      <c r="H180" s="16"/>
      <c r="I180" s="16"/>
      <c r="J180" s="16"/>
      <c r="K180" s="45"/>
      <c r="L180" s="47"/>
      <c r="M180" s="47"/>
      <c r="N180" s="45"/>
      <c r="O180" s="45"/>
      <c r="P180" s="45"/>
    </row>
    <row r="181" spans="1:16">
      <c r="A181" s="42">
        <f t="shared" si="2"/>
        <v>167</v>
      </c>
      <c r="B181" s="59"/>
      <c r="C181" s="61" t="s">
        <v>154</v>
      </c>
      <c r="D181" s="121" t="s">
        <v>14</v>
      </c>
      <c r="E181" s="16">
        <f>E175*0.2</f>
        <v>1.486</v>
      </c>
      <c r="F181" s="16"/>
      <c r="G181" s="16"/>
      <c r="H181" s="16"/>
      <c r="I181" s="16"/>
      <c r="J181" s="16"/>
      <c r="K181" s="45"/>
      <c r="L181" s="47"/>
      <c r="M181" s="47"/>
      <c r="N181" s="45"/>
      <c r="O181" s="45"/>
      <c r="P181" s="45"/>
    </row>
    <row r="182" spans="1:16">
      <c r="A182" s="42">
        <f t="shared" si="2"/>
        <v>168</v>
      </c>
      <c r="B182" s="59"/>
      <c r="C182" s="61" t="s">
        <v>155</v>
      </c>
      <c r="D182" s="121" t="s">
        <v>14</v>
      </c>
      <c r="E182" s="16">
        <f>E175/10</f>
        <v>0.74299999999999999</v>
      </c>
      <c r="F182" s="16"/>
      <c r="G182" s="16"/>
      <c r="H182" s="16"/>
      <c r="I182" s="16"/>
      <c r="J182" s="16"/>
      <c r="K182" s="45"/>
      <c r="L182" s="47"/>
      <c r="M182" s="47"/>
      <c r="N182" s="45"/>
      <c r="O182" s="45"/>
      <c r="P182" s="45"/>
    </row>
    <row r="183" spans="1:16">
      <c r="A183" s="42">
        <f t="shared" si="2"/>
        <v>169</v>
      </c>
      <c r="B183" s="59"/>
      <c r="C183" s="61" t="s">
        <v>156</v>
      </c>
      <c r="D183" s="121" t="s">
        <v>14</v>
      </c>
      <c r="E183" s="24">
        <f>E175*1.2</f>
        <v>8.9159999999999986</v>
      </c>
      <c r="F183" s="16"/>
      <c r="G183" s="16"/>
      <c r="H183" s="16"/>
      <c r="I183" s="16"/>
      <c r="J183" s="16"/>
      <c r="K183" s="45"/>
      <c r="L183" s="47"/>
      <c r="M183" s="47"/>
      <c r="N183" s="45"/>
      <c r="O183" s="45"/>
      <c r="P183" s="45"/>
    </row>
    <row r="184" spans="1:16">
      <c r="A184" s="42">
        <f t="shared" si="2"/>
        <v>170</v>
      </c>
      <c r="B184" s="59"/>
      <c r="C184" s="61" t="s">
        <v>157</v>
      </c>
      <c r="D184" s="121" t="s">
        <v>14</v>
      </c>
      <c r="E184" s="16">
        <f>E183*2</f>
        <v>17.831999999999997</v>
      </c>
      <c r="F184" s="16"/>
      <c r="G184" s="16"/>
      <c r="H184" s="16"/>
      <c r="I184" s="16"/>
      <c r="J184" s="16"/>
      <c r="K184" s="45"/>
      <c r="L184" s="47"/>
      <c r="M184" s="47"/>
      <c r="N184" s="45"/>
      <c r="O184" s="45"/>
      <c r="P184" s="45"/>
    </row>
    <row r="185" spans="1:16" ht="24">
      <c r="A185" s="42">
        <f t="shared" si="2"/>
        <v>171</v>
      </c>
      <c r="B185" s="59"/>
      <c r="C185" s="60" t="s">
        <v>158</v>
      </c>
      <c r="D185" s="15" t="s">
        <v>60</v>
      </c>
      <c r="E185" s="16">
        <f>6.8*E175/100</f>
        <v>0.50523999999999991</v>
      </c>
      <c r="F185" s="16"/>
      <c r="G185" s="16"/>
      <c r="H185" s="16"/>
      <c r="I185" s="16"/>
      <c r="J185" s="16"/>
      <c r="K185" s="45"/>
      <c r="L185" s="47"/>
      <c r="M185" s="47"/>
      <c r="N185" s="45"/>
      <c r="O185" s="45"/>
      <c r="P185" s="45"/>
    </row>
    <row r="186" spans="1:16" ht="24">
      <c r="A186" s="42">
        <f t="shared" si="2"/>
        <v>172</v>
      </c>
      <c r="B186" s="59"/>
      <c r="C186" s="60" t="s">
        <v>159</v>
      </c>
      <c r="D186" s="15" t="s">
        <v>14</v>
      </c>
      <c r="E186" s="16">
        <f>E175*1.7</f>
        <v>12.630999999999998</v>
      </c>
      <c r="F186" s="16"/>
      <c r="G186" s="16"/>
      <c r="H186" s="16"/>
      <c r="I186" s="16"/>
      <c r="J186" s="16"/>
      <c r="K186" s="45"/>
      <c r="L186" s="47"/>
      <c r="M186" s="47"/>
      <c r="N186" s="45"/>
      <c r="O186" s="45"/>
      <c r="P186" s="45"/>
    </row>
    <row r="187" spans="1:16">
      <c r="A187" s="42">
        <f t="shared" si="2"/>
        <v>173</v>
      </c>
      <c r="B187" s="59"/>
      <c r="C187" s="60" t="s">
        <v>169</v>
      </c>
      <c r="D187" s="15" t="s">
        <v>13</v>
      </c>
      <c r="E187" s="16">
        <f>((E175*1.1*2))</f>
        <v>16.346</v>
      </c>
      <c r="F187" s="16"/>
      <c r="G187" s="16"/>
      <c r="H187" s="16"/>
      <c r="I187" s="16"/>
      <c r="J187" s="16"/>
      <c r="K187" s="45"/>
      <c r="L187" s="47"/>
      <c r="M187" s="47"/>
      <c r="N187" s="45"/>
      <c r="O187" s="45"/>
      <c r="P187" s="45"/>
    </row>
    <row r="188" spans="1:16" ht="24">
      <c r="A188" s="42">
        <f t="shared" si="2"/>
        <v>174</v>
      </c>
      <c r="B188" s="59"/>
      <c r="C188" s="60" t="s">
        <v>161</v>
      </c>
      <c r="D188" s="15" t="s">
        <v>162</v>
      </c>
      <c r="E188" s="16">
        <f>10*E175/100</f>
        <v>0.74299999999999999</v>
      </c>
      <c r="F188" s="16"/>
      <c r="G188" s="16"/>
      <c r="H188" s="16"/>
      <c r="I188" s="16"/>
      <c r="J188" s="16"/>
      <c r="K188" s="45"/>
      <c r="L188" s="47"/>
      <c r="M188" s="47"/>
      <c r="N188" s="45"/>
      <c r="O188" s="45"/>
      <c r="P188" s="45"/>
    </row>
    <row r="189" spans="1:16" ht="24">
      <c r="A189" s="42">
        <f t="shared" si="2"/>
        <v>175</v>
      </c>
      <c r="B189" s="15"/>
      <c r="C189" s="123" t="s">
        <v>163</v>
      </c>
      <c r="D189" s="124" t="s">
        <v>60</v>
      </c>
      <c r="E189" s="16">
        <f>26*E175/100</f>
        <v>1.9318</v>
      </c>
      <c r="F189" s="16"/>
      <c r="G189" s="16"/>
      <c r="H189" s="16"/>
      <c r="I189" s="16"/>
      <c r="J189" s="16"/>
      <c r="K189" s="45"/>
      <c r="L189" s="47"/>
      <c r="M189" s="47"/>
      <c r="N189" s="45"/>
      <c r="O189" s="45"/>
      <c r="P189" s="45"/>
    </row>
    <row r="190" spans="1:16" ht="24">
      <c r="A190" s="42">
        <f t="shared" si="2"/>
        <v>176</v>
      </c>
      <c r="B190" s="59"/>
      <c r="C190" s="60" t="s">
        <v>164</v>
      </c>
      <c r="D190" s="15" t="s">
        <v>14</v>
      </c>
      <c r="E190" s="16">
        <f>(E175*1.2*1.1)/90</f>
        <v>0.10897333333333332</v>
      </c>
      <c r="F190" s="16"/>
      <c r="G190" s="16"/>
      <c r="H190" s="16"/>
      <c r="I190" s="16"/>
      <c r="J190" s="16"/>
      <c r="K190" s="45"/>
      <c r="L190" s="47"/>
      <c r="M190" s="47"/>
      <c r="N190" s="45"/>
      <c r="O190" s="45"/>
      <c r="P190" s="45"/>
    </row>
    <row r="191" spans="1:16">
      <c r="A191" s="42">
        <f t="shared" si="2"/>
        <v>177</v>
      </c>
      <c r="B191" s="59"/>
      <c r="C191" s="61" t="s">
        <v>84</v>
      </c>
      <c r="D191" s="15" t="s">
        <v>14</v>
      </c>
      <c r="E191" s="16">
        <f>(E175*0.5*1.1)/25</f>
        <v>0.16345999999999999</v>
      </c>
      <c r="F191" s="16"/>
      <c r="G191" s="16"/>
      <c r="H191" s="16"/>
      <c r="I191" s="16"/>
      <c r="J191" s="16"/>
      <c r="K191" s="45"/>
      <c r="L191" s="47"/>
      <c r="M191" s="47"/>
      <c r="N191" s="45"/>
      <c r="O191" s="45"/>
      <c r="P191" s="45"/>
    </row>
    <row r="192" spans="1:16" ht="24">
      <c r="A192" s="42">
        <f t="shared" si="2"/>
        <v>178</v>
      </c>
      <c r="B192" s="73"/>
      <c r="C192" s="90" t="s">
        <v>166</v>
      </c>
      <c r="D192" s="23" t="s">
        <v>13</v>
      </c>
      <c r="E192" s="45">
        <v>28.84</v>
      </c>
      <c r="F192" s="67"/>
      <c r="G192" s="16"/>
      <c r="H192" s="43"/>
      <c r="I192" s="43"/>
      <c r="J192" s="16"/>
      <c r="K192" s="43"/>
      <c r="L192" s="43"/>
      <c r="M192" s="43"/>
      <c r="N192" s="43"/>
      <c r="O192" s="43"/>
      <c r="P192" s="43"/>
    </row>
    <row r="193" spans="1:16">
      <c r="A193" s="42">
        <f t="shared" si="2"/>
        <v>179</v>
      </c>
      <c r="B193" s="122"/>
      <c r="C193" s="46" t="s">
        <v>77</v>
      </c>
      <c r="D193" s="23" t="s">
        <v>25</v>
      </c>
      <c r="E193" s="45">
        <f>1*E192/25</f>
        <v>1.1536</v>
      </c>
      <c r="F193" s="67"/>
      <c r="G193" s="16"/>
      <c r="H193" s="43"/>
      <c r="I193" s="45"/>
      <c r="J193" s="16"/>
      <c r="K193" s="45"/>
      <c r="L193" s="47"/>
      <c r="M193" s="47"/>
      <c r="N193" s="45"/>
      <c r="O193" s="45"/>
      <c r="P193" s="45"/>
    </row>
    <row r="194" spans="1:16" ht="24">
      <c r="A194" s="42">
        <f t="shared" si="2"/>
        <v>180</v>
      </c>
      <c r="B194" s="122"/>
      <c r="C194" s="48" t="s">
        <v>78</v>
      </c>
      <c r="D194" s="23" t="s">
        <v>25</v>
      </c>
      <c r="E194" s="45">
        <f>0.5*E192/28</f>
        <v>0.51500000000000001</v>
      </c>
      <c r="F194" s="67"/>
      <c r="G194" s="16"/>
      <c r="H194" s="43"/>
      <c r="I194" s="45"/>
      <c r="J194" s="16"/>
      <c r="K194" s="45"/>
      <c r="L194" s="47"/>
      <c r="M194" s="47"/>
      <c r="N194" s="45"/>
      <c r="O194" s="45"/>
      <c r="P194" s="45"/>
    </row>
    <row r="195" spans="1:16">
      <c r="A195" s="42">
        <f t="shared" si="2"/>
        <v>181</v>
      </c>
      <c r="B195" s="122"/>
      <c r="C195" s="46" t="s">
        <v>79</v>
      </c>
      <c r="D195" s="23" t="s">
        <v>25</v>
      </c>
      <c r="E195" s="45">
        <f>0.15*E192/15</f>
        <v>0.28839999999999999</v>
      </c>
      <c r="F195" s="67"/>
      <c r="G195" s="16"/>
      <c r="H195" s="43"/>
      <c r="I195" s="45"/>
      <c r="J195" s="16"/>
      <c r="K195" s="45"/>
      <c r="L195" s="47"/>
      <c r="M195" s="47"/>
      <c r="N195" s="45"/>
      <c r="O195" s="45"/>
      <c r="P195" s="45"/>
    </row>
    <row r="196" spans="1:16">
      <c r="A196" s="42">
        <f t="shared" si="2"/>
        <v>182</v>
      </c>
      <c r="B196" s="122"/>
      <c r="C196" s="57" t="s">
        <v>80</v>
      </c>
      <c r="D196" s="23" t="s">
        <v>25</v>
      </c>
      <c r="E196" s="45">
        <f>E192*0.3/3</f>
        <v>2.8839999999999999</v>
      </c>
      <c r="F196" s="67"/>
      <c r="G196" s="16"/>
      <c r="H196" s="43"/>
      <c r="I196" s="45"/>
      <c r="J196" s="16"/>
      <c r="K196" s="45"/>
      <c r="L196" s="47"/>
      <c r="M196" s="47"/>
      <c r="N196" s="45"/>
      <c r="O196" s="45"/>
      <c r="P196" s="45"/>
    </row>
    <row r="197" spans="1:16">
      <c r="A197" s="42">
        <f t="shared" si="2"/>
        <v>183</v>
      </c>
      <c r="B197" s="122"/>
      <c r="C197" s="46" t="s">
        <v>76</v>
      </c>
      <c r="D197" s="23" t="s">
        <v>66</v>
      </c>
      <c r="E197" s="45">
        <f>0.015*E192</f>
        <v>0.43259999999999998</v>
      </c>
      <c r="F197" s="67"/>
      <c r="G197" s="16"/>
      <c r="H197" s="43"/>
      <c r="I197" s="45"/>
      <c r="J197" s="16"/>
      <c r="K197" s="45"/>
      <c r="L197" s="47"/>
      <c r="M197" s="47"/>
      <c r="N197" s="45"/>
      <c r="O197" s="45"/>
      <c r="P197" s="45"/>
    </row>
    <row r="198" spans="1:16">
      <c r="A198" s="42">
        <f t="shared" si="2"/>
        <v>184</v>
      </c>
      <c r="B198" s="135"/>
      <c r="C198" s="91" t="s">
        <v>167</v>
      </c>
      <c r="D198" s="23" t="s">
        <v>13</v>
      </c>
      <c r="E198" s="45">
        <v>28.84</v>
      </c>
      <c r="F198" s="67"/>
      <c r="G198" s="16"/>
      <c r="H198" s="43"/>
      <c r="I198" s="43"/>
      <c r="J198" s="16"/>
      <c r="K198" s="43"/>
      <c r="L198" s="43"/>
      <c r="M198" s="43"/>
      <c r="N198" s="43"/>
      <c r="O198" s="43"/>
      <c r="P198" s="43"/>
    </row>
    <row r="199" spans="1:16" ht="24">
      <c r="A199" s="42">
        <f t="shared" si="2"/>
        <v>185</v>
      </c>
      <c r="B199" s="122"/>
      <c r="C199" s="48" t="s">
        <v>81</v>
      </c>
      <c r="D199" s="23" t="s">
        <v>37</v>
      </c>
      <c r="E199" s="24">
        <f>0.05*E198</f>
        <v>1.4420000000000002</v>
      </c>
      <c r="F199" s="67"/>
      <c r="G199" s="16"/>
      <c r="H199" s="43"/>
      <c r="I199" s="45"/>
      <c r="J199" s="16"/>
      <c r="K199" s="45"/>
      <c r="L199" s="47"/>
      <c r="M199" s="47"/>
      <c r="N199" s="45"/>
      <c r="O199" s="45"/>
      <c r="P199" s="45"/>
    </row>
    <row r="200" spans="1:16">
      <c r="A200" s="42">
        <f t="shared" si="2"/>
        <v>186</v>
      </c>
      <c r="B200" s="122"/>
      <c r="C200" s="46" t="s">
        <v>82</v>
      </c>
      <c r="D200" s="23" t="s">
        <v>25</v>
      </c>
      <c r="E200" s="45">
        <f>E198*0.03</f>
        <v>0.86519999999999997</v>
      </c>
      <c r="F200" s="67"/>
      <c r="G200" s="16"/>
      <c r="H200" s="43"/>
      <c r="I200" s="45"/>
      <c r="J200" s="16"/>
      <c r="K200" s="45"/>
      <c r="L200" s="47"/>
      <c r="M200" s="47"/>
      <c r="N200" s="45"/>
      <c r="O200" s="45"/>
      <c r="P200" s="45"/>
    </row>
    <row r="201" spans="1:16">
      <c r="A201" s="42">
        <f t="shared" si="2"/>
        <v>187</v>
      </c>
      <c r="B201" s="122"/>
      <c r="C201" s="46" t="s">
        <v>83</v>
      </c>
      <c r="D201" s="23" t="s">
        <v>25</v>
      </c>
      <c r="E201" s="45">
        <f>0.2*E198/9</f>
        <v>0.64088888888888895</v>
      </c>
      <c r="F201" s="67"/>
      <c r="G201" s="16"/>
      <c r="H201" s="43"/>
      <c r="I201" s="45"/>
      <c r="J201" s="16"/>
      <c r="K201" s="45"/>
      <c r="L201" s="47"/>
      <c r="M201" s="47"/>
      <c r="N201" s="45"/>
      <c r="O201" s="45"/>
      <c r="P201" s="45"/>
    </row>
    <row r="202" spans="1:16">
      <c r="A202" s="42">
        <f t="shared" si="2"/>
        <v>188</v>
      </c>
      <c r="B202" s="54"/>
      <c r="C202" s="125" t="s">
        <v>171</v>
      </c>
      <c r="D202" s="23" t="s">
        <v>13</v>
      </c>
      <c r="E202" s="104">
        <v>51.23</v>
      </c>
      <c r="F202" s="104"/>
      <c r="G202" s="94"/>
      <c r="H202" s="104"/>
      <c r="I202" s="104"/>
      <c r="J202" s="94"/>
      <c r="K202" s="104"/>
      <c r="L202" s="104"/>
      <c r="M202" s="104"/>
      <c r="N202" s="104"/>
      <c r="O202" s="104"/>
      <c r="P202" s="104"/>
    </row>
    <row r="203" spans="1:16" ht="24">
      <c r="A203" s="42">
        <f t="shared" si="2"/>
        <v>189</v>
      </c>
      <c r="B203" s="54"/>
      <c r="C203" s="126" t="s">
        <v>170</v>
      </c>
      <c r="D203" s="23" t="s">
        <v>13</v>
      </c>
      <c r="E203" s="93">
        <f>E202</f>
        <v>51.23</v>
      </c>
      <c r="F203" s="93"/>
      <c r="G203" s="93"/>
      <c r="H203" s="93"/>
      <c r="I203" s="93"/>
      <c r="J203" s="16"/>
      <c r="K203" s="45"/>
      <c r="L203" s="47"/>
      <c r="M203" s="47"/>
      <c r="N203" s="45"/>
      <c r="O203" s="45"/>
      <c r="P203" s="45"/>
    </row>
    <row r="204" spans="1:16" ht="24">
      <c r="A204" s="42">
        <f t="shared" si="2"/>
        <v>190</v>
      </c>
      <c r="B204" s="54"/>
      <c r="C204" s="113" t="s">
        <v>172</v>
      </c>
      <c r="D204" s="23" t="s">
        <v>13</v>
      </c>
      <c r="E204" s="93">
        <f>(E202*1.1)</f>
        <v>56.353000000000002</v>
      </c>
      <c r="F204" s="93"/>
      <c r="G204" s="93"/>
      <c r="H204" s="93"/>
      <c r="I204" s="93"/>
      <c r="J204" s="16"/>
      <c r="K204" s="45"/>
      <c r="L204" s="47"/>
      <c r="M204" s="47"/>
      <c r="N204" s="45"/>
      <c r="O204" s="45"/>
      <c r="P204" s="45"/>
    </row>
    <row r="205" spans="1:16">
      <c r="A205" s="42">
        <f t="shared" si="2"/>
        <v>191</v>
      </c>
      <c r="B205" s="127"/>
      <c r="C205" s="128" t="s">
        <v>173</v>
      </c>
      <c r="D205" s="129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</row>
    <row r="206" spans="1:16" ht="36">
      <c r="A206" s="42">
        <f t="shared" si="2"/>
        <v>192</v>
      </c>
      <c r="B206" s="72"/>
      <c r="C206" s="84" t="s">
        <v>184</v>
      </c>
      <c r="D206" s="15" t="s">
        <v>13</v>
      </c>
      <c r="E206" s="18">
        <v>68.489999999999995</v>
      </c>
      <c r="F206" s="68"/>
      <c r="G206" s="16"/>
      <c r="H206" s="69"/>
      <c r="I206" s="45"/>
      <c r="J206" s="68"/>
      <c r="K206" s="81"/>
      <c r="L206" s="81"/>
      <c r="M206" s="81"/>
      <c r="N206" s="81"/>
      <c r="O206" s="81"/>
      <c r="P206" s="81"/>
    </row>
    <row r="207" spans="1:16">
      <c r="A207" s="42">
        <f t="shared" si="2"/>
        <v>193</v>
      </c>
      <c r="B207" s="72"/>
      <c r="C207" s="53" t="s">
        <v>185</v>
      </c>
      <c r="D207" s="15" t="s">
        <v>25</v>
      </c>
      <c r="E207" s="18">
        <f>0.25*E206</f>
        <v>17.122499999999999</v>
      </c>
      <c r="F207" s="68"/>
      <c r="G207" s="16"/>
      <c r="H207" s="69"/>
      <c r="I207" s="69"/>
      <c r="J207" s="16"/>
      <c r="K207" s="45"/>
      <c r="L207" s="47"/>
      <c r="M207" s="47"/>
      <c r="N207" s="45"/>
      <c r="O207" s="45"/>
      <c r="P207" s="45"/>
    </row>
    <row r="208" spans="1:16">
      <c r="A208" s="42">
        <f t="shared" si="2"/>
        <v>194</v>
      </c>
      <c r="B208" s="72"/>
      <c r="C208" s="53" t="s">
        <v>186</v>
      </c>
      <c r="D208" s="15" t="s">
        <v>37</v>
      </c>
      <c r="E208" s="18">
        <f>E207*3*2/30</f>
        <v>3.4244999999999997</v>
      </c>
      <c r="F208" s="68"/>
      <c r="G208" s="16"/>
      <c r="H208" s="69"/>
      <c r="I208" s="69"/>
      <c r="J208" s="16"/>
      <c r="K208" s="45"/>
      <c r="L208" s="47"/>
      <c r="M208" s="47"/>
      <c r="N208" s="45"/>
      <c r="O208" s="45"/>
      <c r="P208" s="45"/>
    </row>
    <row r="209" spans="1:16">
      <c r="A209" s="42">
        <f t="shared" ref="A209:A272" si="3">A208+1</f>
        <v>195</v>
      </c>
      <c r="B209" s="72"/>
      <c r="C209" s="53" t="s">
        <v>187</v>
      </c>
      <c r="D209" s="15" t="s">
        <v>25</v>
      </c>
      <c r="E209" s="18">
        <f>E207*10</f>
        <v>171.22499999999999</v>
      </c>
      <c r="F209" s="68"/>
      <c r="G209" s="16"/>
      <c r="H209" s="69"/>
      <c r="I209" s="69"/>
      <c r="J209" s="16"/>
      <c r="K209" s="45"/>
      <c r="L209" s="47"/>
      <c r="M209" s="47"/>
      <c r="N209" s="45"/>
      <c r="O209" s="45"/>
      <c r="P209" s="45"/>
    </row>
    <row r="210" spans="1:16">
      <c r="A210" s="42">
        <f t="shared" si="3"/>
        <v>196</v>
      </c>
      <c r="B210" s="72"/>
      <c r="C210" s="53" t="s">
        <v>188</v>
      </c>
      <c r="D210" s="15" t="s">
        <v>25</v>
      </c>
      <c r="E210" s="18">
        <f>1*E206</f>
        <v>68.489999999999995</v>
      </c>
      <c r="F210" s="68"/>
      <c r="G210" s="16"/>
      <c r="H210" s="69"/>
      <c r="I210" s="69"/>
      <c r="J210" s="16"/>
      <c r="K210" s="45"/>
      <c r="L210" s="47"/>
      <c r="M210" s="47"/>
      <c r="N210" s="45"/>
      <c r="O210" s="45"/>
      <c r="P210" s="45"/>
    </row>
    <row r="211" spans="1:16">
      <c r="A211" s="42">
        <f t="shared" si="3"/>
        <v>197</v>
      </c>
      <c r="B211" s="72"/>
      <c r="C211" s="61" t="s">
        <v>116</v>
      </c>
      <c r="D211" s="15" t="s">
        <v>13</v>
      </c>
      <c r="E211" s="18">
        <f>(E206*1.3)</f>
        <v>89.036999999999992</v>
      </c>
      <c r="F211" s="68"/>
      <c r="G211" s="16"/>
      <c r="H211" s="69"/>
      <c r="I211" s="69"/>
      <c r="J211" s="16"/>
      <c r="K211" s="45"/>
      <c r="L211" s="47"/>
      <c r="M211" s="47"/>
      <c r="N211" s="45"/>
      <c r="O211" s="45"/>
      <c r="P211" s="45"/>
    </row>
    <row r="212" spans="1:16">
      <c r="A212" s="42">
        <f t="shared" si="3"/>
        <v>198</v>
      </c>
      <c r="B212" s="72"/>
      <c r="C212" s="130" t="s">
        <v>189</v>
      </c>
      <c r="D212" s="15" t="s">
        <v>60</v>
      </c>
      <c r="E212" s="18">
        <f>(E206*10*1.1)/100</f>
        <v>7.5339</v>
      </c>
      <c r="F212" s="68"/>
      <c r="G212" s="16"/>
      <c r="H212" s="69"/>
      <c r="I212" s="69"/>
      <c r="J212" s="16"/>
      <c r="K212" s="45"/>
      <c r="L212" s="47"/>
      <c r="M212" s="47"/>
      <c r="N212" s="45"/>
      <c r="O212" s="45"/>
      <c r="P212" s="45"/>
    </row>
    <row r="213" spans="1:16" ht="24">
      <c r="A213" s="42">
        <f t="shared" si="3"/>
        <v>199</v>
      </c>
      <c r="B213" s="72"/>
      <c r="C213" s="130" t="s">
        <v>177</v>
      </c>
      <c r="D213" s="15" t="s">
        <v>13</v>
      </c>
      <c r="E213" s="18">
        <f>((E206*1.2*4))</f>
        <v>328.75199999999995</v>
      </c>
      <c r="F213" s="68"/>
      <c r="G213" s="16"/>
      <c r="H213" s="69"/>
      <c r="I213" s="16"/>
      <c r="J213" s="16"/>
      <c r="K213" s="45"/>
      <c r="L213" s="47"/>
      <c r="M213" s="47"/>
      <c r="N213" s="45"/>
      <c r="O213" s="45"/>
      <c r="P213" s="45"/>
    </row>
    <row r="214" spans="1:16" ht="24">
      <c r="A214" s="42">
        <f t="shared" si="3"/>
        <v>200</v>
      </c>
      <c r="B214" s="72"/>
      <c r="C214" s="130" t="s">
        <v>190</v>
      </c>
      <c r="D214" s="15" t="s">
        <v>60</v>
      </c>
      <c r="E214" s="18">
        <f>(E206*29*1.1)/100</f>
        <v>21.848310000000001</v>
      </c>
      <c r="F214" s="68"/>
      <c r="G214" s="16"/>
      <c r="H214" s="69"/>
      <c r="I214" s="69"/>
      <c r="J214" s="16"/>
      <c r="K214" s="45"/>
      <c r="L214" s="47"/>
      <c r="M214" s="47"/>
      <c r="N214" s="45"/>
      <c r="O214" s="45"/>
      <c r="P214" s="45"/>
    </row>
    <row r="215" spans="1:16" ht="24">
      <c r="A215" s="42">
        <f t="shared" si="3"/>
        <v>201</v>
      </c>
      <c r="B215" s="72"/>
      <c r="C215" s="53" t="s">
        <v>191</v>
      </c>
      <c r="D215" s="15" t="s">
        <v>25</v>
      </c>
      <c r="E215" s="18">
        <f>(E206*1*1.1)/45</f>
        <v>1.6741999999999999</v>
      </c>
      <c r="F215" s="68"/>
      <c r="G215" s="16"/>
      <c r="H215" s="69"/>
      <c r="I215" s="69"/>
      <c r="J215" s="16"/>
      <c r="K215" s="45"/>
      <c r="L215" s="47"/>
      <c r="M215" s="47"/>
      <c r="N215" s="45"/>
      <c r="O215" s="45"/>
      <c r="P215" s="45"/>
    </row>
    <row r="216" spans="1:16">
      <c r="A216" s="42">
        <f t="shared" si="3"/>
        <v>202</v>
      </c>
      <c r="B216" s="72"/>
      <c r="C216" s="53" t="s">
        <v>84</v>
      </c>
      <c r="D216" s="15" t="s">
        <v>25</v>
      </c>
      <c r="E216" s="18">
        <f>(E206*2*1.1)/25</f>
        <v>6.02712</v>
      </c>
      <c r="F216" s="68"/>
      <c r="G216" s="16"/>
      <c r="H216" s="69"/>
      <c r="I216" s="69"/>
      <c r="J216" s="16"/>
      <c r="K216" s="45"/>
      <c r="L216" s="47"/>
      <c r="M216" s="47"/>
      <c r="N216" s="45"/>
      <c r="O216" s="45"/>
      <c r="P216" s="45"/>
    </row>
    <row r="217" spans="1:16" ht="36">
      <c r="A217" s="42">
        <f t="shared" si="3"/>
        <v>203</v>
      </c>
      <c r="B217" s="136"/>
      <c r="C217" s="75" t="s">
        <v>178</v>
      </c>
      <c r="D217" s="15" t="s">
        <v>62</v>
      </c>
      <c r="E217" s="18">
        <v>155.41</v>
      </c>
      <c r="F217" s="16"/>
      <c r="G217" s="45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1:16">
      <c r="A218" s="42">
        <f t="shared" si="3"/>
        <v>204</v>
      </c>
      <c r="B218" s="59"/>
      <c r="C218" s="63" t="s">
        <v>149</v>
      </c>
      <c r="D218" s="121" t="s">
        <v>25</v>
      </c>
      <c r="E218" s="18">
        <f>0.7*1.1*E217/3</f>
        <v>39.888566666666669</v>
      </c>
      <c r="F218" s="16"/>
      <c r="G218" s="16"/>
      <c r="H218" s="16"/>
      <c r="I218" s="16"/>
      <c r="J218" s="16"/>
      <c r="K218" s="45"/>
      <c r="L218" s="47"/>
      <c r="M218" s="47"/>
      <c r="N218" s="45"/>
      <c r="O218" s="45"/>
      <c r="P218" s="45"/>
    </row>
    <row r="219" spans="1:16">
      <c r="A219" s="42">
        <f t="shared" si="3"/>
        <v>205</v>
      </c>
      <c r="B219" s="59"/>
      <c r="C219" s="63" t="s">
        <v>150</v>
      </c>
      <c r="D219" s="121" t="s">
        <v>25</v>
      </c>
      <c r="E219" s="18">
        <f>E218*10</f>
        <v>398.88566666666668</v>
      </c>
      <c r="F219" s="16"/>
      <c r="G219" s="16"/>
      <c r="H219" s="16"/>
      <c r="I219" s="16"/>
      <c r="J219" s="16"/>
      <c r="K219" s="45"/>
      <c r="L219" s="47"/>
      <c r="M219" s="47"/>
      <c r="N219" s="45"/>
      <c r="O219" s="45"/>
      <c r="P219" s="45"/>
    </row>
    <row r="220" spans="1:16">
      <c r="A220" s="42">
        <f t="shared" si="3"/>
        <v>206</v>
      </c>
      <c r="B220" s="59"/>
      <c r="C220" s="63" t="s">
        <v>151</v>
      </c>
      <c r="D220" s="121" t="s">
        <v>25</v>
      </c>
      <c r="E220" s="18">
        <f>E218*3/30</f>
        <v>3.9888566666666674</v>
      </c>
      <c r="F220" s="16"/>
      <c r="G220" s="16"/>
      <c r="H220" s="16"/>
      <c r="I220" s="16"/>
      <c r="J220" s="16"/>
      <c r="K220" s="45"/>
      <c r="L220" s="47"/>
      <c r="M220" s="47"/>
      <c r="N220" s="45"/>
      <c r="O220" s="45"/>
      <c r="P220" s="45"/>
    </row>
    <row r="221" spans="1:16">
      <c r="A221" s="42">
        <f t="shared" si="3"/>
        <v>207</v>
      </c>
      <c r="B221" s="59"/>
      <c r="C221" s="63" t="s">
        <v>174</v>
      </c>
      <c r="D221" s="121" t="s">
        <v>25</v>
      </c>
      <c r="E221" s="18">
        <f>2*1.1*E217/3</f>
        <v>113.96733333333334</v>
      </c>
      <c r="F221" s="16"/>
      <c r="G221" s="16"/>
      <c r="H221" s="16"/>
      <c r="I221" s="16"/>
      <c r="J221" s="16"/>
      <c r="K221" s="45"/>
      <c r="L221" s="47"/>
      <c r="M221" s="47"/>
      <c r="N221" s="45"/>
      <c r="O221" s="45"/>
      <c r="P221" s="45"/>
    </row>
    <row r="222" spans="1:16">
      <c r="A222" s="42">
        <f t="shared" si="3"/>
        <v>208</v>
      </c>
      <c r="B222" s="59"/>
      <c r="C222" s="63" t="s">
        <v>155</v>
      </c>
      <c r="D222" s="121" t="s">
        <v>25</v>
      </c>
      <c r="E222" s="18">
        <f>E217/10</f>
        <v>15.541</v>
      </c>
      <c r="F222" s="16"/>
      <c r="G222" s="16"/>
      <c r="H222" s="16"/>
      <c r="I222" s="16"/>
      <c r="J222" s="16"/>
      <c r="K222" s="45"/>
      <c r="L222" s="47"/>
      <c r="M222" s="47"/>
      <c r="N222" s="45"/>
      <c r="O222" s="45"/>
      <c r="P222" s="45"/>
    </row>
    <row r="223" spans="1:16">
      <c r="A223" s="42">
        <f t="shared" si="3"/>
        <v>209</v>
      </c>
      <c r="B223" s="59"/>
      <c r="C223" s="63" t="s">
        <v>175</v>
      </c>
      <c r="D223" s="121" t="s">
        <v>25</v>
      </c>
      <c r="E223" s="131">
        <f>E221*0.7*1.1</f>
        <v>87.75484666666668</v>
      </c>
      <c r="F223" s="16"/>
      <c r="G223" s="16"/>
      <c r="H223" s="16"/>
      <c r="I223" s="16"/>
      <c r="J223" s="16"/>
      <c r="K223" s="45"/>
      <c r="L223" s="47"/>
      <c r="M223" s="47"/>
      <c r="N223" s="45"/>
      <c r="O223" s="45"/>
      <c r="P223" s="45"/>
    </row>
    <row r="224" spans="1:16">
      <c r="A224" s="42">
        <f t="shared" si="3"/>
        <v>210</v>
      </c>
      <c r="B224" s="59"/>
      <c r="C224" s="63" t="s">
        <v>150</v>
      </c>
      <c r="D224" s="121" t="s">
        <v>25</v>
      </c>
      <c r="E224" s="18">
        <f>E223*2</f>
        <v>175.50969333333336</v>
      </c>
      <c r="F224" s="16"/>
      <c r="G224" s="16"/>
      <c r="H224" s="16"/>
      <c r="I224" s="16"/>
      <c r="J224" s="16"/>
      <c r="K224" s="45"/>
      <c r="L224" s="47"/>
      <c r="M224" s="47"/>
      <c r="N224" s="45"/>
      <c r="O224" s="45"/>
      <c r="P224" s="45"/>
    </row>
    <row r="225" spans="1:16" ht="24">
      <c r="A225" s="42">
        <f t="shared" si="3"/>
        <v>211</v>
      </c>
      <c r="B225" s="59"/>
      <c r="C225" s="62" t="s">
        <v>176</v>
      </c>
      <c r="D225" s="15" t="s">
        <v>60</v>
      </c>
      <c r="E225" s="18">
        <f>6*E217/100</f>
        <v>9.3246000000000002</v>
      </c>
      <c r="F225" s="16"/>
      <c r="G225" s="16"/>
      <c r="H225" s="16"/>
      <c r="I225" s="16"/>
      <c r="J225" s="16"/>
      <c r="K225" s="45"/>
      <c r="L225" s="47"/>
      <c r="M225" s="47"/>
      <c r="N225" s="45"/>
      <c r="O225" s="45"/>
      <c r="P225" s="45"/>
    </row>
    <row r="226" spans="1:16" ht="24">
      <c r="A226" s="42">
        <f t="shared" si="3"/>
        <v>212</v>
      </c>
      <c r="B226" s="59"/>
      <c r="C226" s="62" t="s">
        <v>159</v>
      </c>
      <c r="D226" s="15" t="s">
        <v>25</v>
      </c>
      <c r="E226" s="18">
        <f>1*E217</f>
        <v>155.41</v>
      </c>
      <c r="F226" s="16"/>
      <c r="G226" s="16"/>
      <c r="H226" s="16"/>
      <c r="I226" s="16"/>
      <c r="J226" s="16"/>
      <c r="K226" s="45"/>
      <c r="L226" s="47"/>
      <c r="M226" s="47"/>
      <c r="N226" s="45"/>
      <c r="O226" s="45"/>
      <c r="P226" s="45"/>
    </row>
    <row r="227" spans="1:16" ht="24">
      <c r="A227" s="42">
        <f t="shared" si="3"/>
        <v>213</v>
      </c>
      <c r="B227" s="59"/>
      <c r="C227" s="62" t="s">
        <v>176</v>
      </c>
      <c r="D227" s="15" t="s">
        <v>60</v>
      </c>
      <c r="E227" s="18">
        <f>4*E226/100</f>
        <v>6.2164000000000001</v>
      </c>
      <c r="F227" s="16"/>
      <c r="G227" s="16"/>
      <c r="H227" s="16"/>
      <c r="I227" s="16"/>
      <c r="J227" s="16"/>
      <c r="K227" s="45"/>
      <c r="L227" s="47"/>
      <c r="M227" s="47"/>
      <c r="N227" s="45"/>
      <c r="O227" s="45"/>
      <c r="P227" s="45"/>
    </row>
    <row r="228" spans="1:16" ht="24">
      <c r="A228" s="42">
        <f t="shared" si="3"/>
        <v>214</v>
      </c>
      <c r="B228" s="59"/>
      <c r="C228" s="62" t="s">
        <v>177</v>
      </c>
      <c r="D228" s="15" t="s">
        <v>13</v>
      </c>
      <c r="E228" s="18">
        <f>(E217*1.1*2)</f>
        <v>341.90200000000004</v>
      </c>
      <c r="F228" s="16"/>
      <c r="G228" s="16"/>
      <c r="H228" s="16"/>
      <c r="I228" s="16"/>
      <c r="J228" s="16"/>
      <c r="K228" s="45"/>
      <c r="L228" s="47"/>
      <c r="M228" s="47"/>
      <c r="N228" s="45"/>
      <c r="O228" s="45"/>
      <c r="P228" s="45"/>
    </row>
    <row r="229" spans="1:16" ht="24">
      <c r="A229" s="42">
        <f t="shared" si="3"/>
        <v>215</v>
      </c>
      <c r="B229" s="59"/>
      <c r="C229" s="62" t="s">
        <v>161</v>
      </c>
      <c r="D229" s="15" t="s">
        <v>162</v>
      </c>
      <c r="E229" s="18">
        <f>24*E217/100</f>
        <v>37.298400000000001</v>
      </c>
      <c r="F229" s="16"/>
      <c r="G229" s="16"/>
      <c r="H229" s="16"/>
      <c r="I229" s="16"/>
      <c r="J229" s="16"/>
      <c r="K229" s="45"/>
      <c r="L229" s="47"/>
      <c r="M229" s="47"/>
      <c r="N229" s="45"/>
      <c r="O229" s="45"/>
      <c r="P229" s="45"/>
    </row>
    <row r="230" spans="1:16" ht="24">
      <c r="A230" s="42">
        <f t="shared" si="3"/>
        <v>216</v>
      </c>
      <c r="B230" s="15"/>
      <c r="C230" s="123" t="s">
        <v>163</v>
      </c>
      <c r="D230" s="124" t="s">
        <v>60</v>
      </c>
      <c r="E230" s="16">
        <f>26*E217/100</f>
        <v>40.406599999999997</v>
      </c>
      <c r="F230" s="16"/>
      <c r="G230" s="16"/>
      <c r="H230" s="16"/>
      <c r="I230" s="16"/>
      <c r="J230" s="16"/>
      <c r="K230" s="45"/>
      <c r="L230" s="47"/>
      <c r="M230" s="47"/>
      <c r="N230" s="45"/>
      <c r="O230" s="45"/>
      <c r="P230" s="45"/>
    </row>
    <row r="231" spans="1:16" ht="24">
      <c r="A231" s="42">
        <f t="shared" si="3"/>
        <v>217</v>
      </c>
      <c r="B231" s="59"/>
      <c r="C231" s="62" t="s">
        <v>164</v>
      </c>
      <c r="D231" s="15" t="s">
        <v>25</v>
      </c>
      <c r="E231" s="18">
        <f>(E217*1*1.1)/90</f>
        <v>1.8994555555555559</v>
      </c>
      <c r="F231" s="16"/>
      <c r="G231" s="16"/>
      <c r="H231" s="16"/>
      <c r="I231" s="16"/>
      <c r="J231" s="16"/>
      <c r="K231" s="45"/>
      <c r="L231" s="47"/>
      <c r="M231" s="47"/>
      <c r="N231" s="45"/>
      <c r="O231" s="45"/>
      <c r="P231" s="45"/>
    </row>
    <row r="232" spans="1:16">
      <c r="A232" s="42">
        <f t="shared" si="3"/>
        <v>218</v>
      </c>
      <c r="B232" s="59"/>
      <c r="C232" s="63" t="s">
        <v>84</v>
      </c>
      <c r="D232" s="15" t="s">
        <v>25</v>
      </c>
      <c r="E232" s="18">
        <f>(E217*0.3*1.1)/25</f>
        <v>2.051412</v>
      </c>
      <c r="F232" s="16"/>
      <c r="G232" s="16"/>
      <c r="H232" s="16"/>
      <c r="I232" s="16"/>
      <c r="J232" s="16"/>
      <c r="K232" s="45"/>
      <c r="L232" s="47"/>
      <c r="M232" s="47"/>
      <c r="N232" s="45"/>
      <c r="O232" s="45"/>
      <c r="P232" s="45"/>
    </row>
    <row r="233" spans="1:16" ht="36">
      <c r="A233" s="42">
        <f t="shared" si="3"/>
        <v>219</v>
      </c>
      <c r="B233" s="136"/>
      <c r="C233" s="75" t="s">
        <v>178</v>
      </c>
      <c r="D233" s="15" t="s">
        <v>62</v>
      </c>
      <c r="E233" s="18">
        <v>32.56</v>
      </c>
      <c r="F233" s="16"/>
      <c r="G233" s="45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1:16">
      <c r="A234" s="42">
        <f t="shared" si="3"/>
        <v>220</v>
      </c>
      <c r="B234" s="59"/>
      <c r="C234" s="63" t="s">
        <v>149</v>
      </c>
      <c r="D234" s="121" t="s">
        <v>25</v>
      </c>
      <c r="E234" s="18">
        <f>0.7*1.1*E233/3</f>
        <v>8.3570666666666664</v>
      </c>
      <c r="F234" s="16"/>
      <c r="G234" s="16"/>
      <c r="H234" s="16"/>
      <c r="I234" s="16"/>
      <c r="J234" s="16"/>
      <c r="K234" s="45"/>
      <c r="L234" s="47"/>
      <c r="M234" s="47"/>
      <c r="N234" s="45"/>
      <c r="O234" s="45"/>
      <c r="P234" s="45"/>
    </row>
    <row r="235" spans="1:16">
      <c r="A235" s="42">
        <f t="shared" si="3"/>
        <v>221</v>
      </c>
      <c r="B235" s="59"/>
      <c r="C235" s="63" t="s">
        <v>150</v>
      </c>
      <c r="D235" s="121" t="s">
        <v>25</v>
      </c>
      <c r="E235" s="18">
        <f>E234*10</f>
        <v>83.570666666666668</v>
      </c>
      <c r="F235" s="16"/>
      <c r="G235" s="16"/>
      <c r="H235" s="16"/>
      <c r="I235" s="16"/>
      <c r="J235" s="16"/>
      <c r="K235" s="45"/>
      <c r="L235" s="47"/>
      <c r="M235" s="47"/>
      <c r="N235" s="45"/>
      <c r="O235" s="45"/>
      <c r="P235" s="45"/>
    </row>
    <row r="236" spans="1:16">
      <c r="A236" s="42">
        <f t="shared" si="3"/>
        <v>222</v>
      </c>
      <c r="B236" s="59"/>
      <c r="C236" s="63" t="s">
        <v>151</v>
      </c>
      <c r="D236" s="121" t="s">
        <v>25</v>
      </c>
      <c r="E236" s="18">
        <f>E234*3/30</f>
        <v>0.8357066666666666</v>
      </c>
      <c r="F236" s="16"/>
      <c r="G236" s="16"/>
      <c r="H236" s="16"/>
      <c r="I236" s="16"/>
      <c r="J236" s="16"/>
      <c r="K236" s="45"/>
      <c r="L236" s="47"/>
      <c r="M236" s="47"/>
      <c r="N236" s="45"/>
      <c r="O236" s="45"/>
      <c r="P236" s="45"/>
    </row>
    <row r="237" spans="1:16">
      <c r="A237" s="42">
        <f t="shared" si="3"/>
        <v>223</v>
      </c>
      <c r="B237" s="59"/>
      <c r="C237" s="63" t="s">
        <v>174</v>
      </c>
      <c r="D237" s="121" t="s">
        <v>25</v>
      </c>
      <c r="E237" s="18">
        <f>2*1.1*E233/3</f>
        <v>23.877333333333336</v>
      </c>
      <c r="F237" s="16"/>
      <c r="G237" s="16"/>
      <c r="H237" s="16"/>
      <c r="I237" s="16"/>
      <c r="J237" s="16"/>
      <c r="K237" s="45"/>
      <c r="L237" s="47"/>
      <c r="M237" s="47"/>
      <c r="N237" s="45"/>
      <c r="O237" s="45"/>
      <c r="P237" s="45"/>
    </row>
    <row r="238" spans="1:16">
      <c r="A238" s="42">
        <f t="shared" si="3"/>
        <v>224</v>
      </c>
      <c r="B238" s="59"/>
      <c r="C238" s="63" t="s">
        <v>155</v>
      </c>
      <c r="D238" s="121" t="s">
        <v>25</v>
      </c>
      <c r="E238" s="18">
        <f>E233/10</f>
        <v>3.2560000000000002</v>
      </c>
      <c r="F238" s="16"/>
      <c r="G238" s="16"/>
      <c r="H238" s="16"/>
      <c r="I238" s="16"/>
      <c r="J238" s="16"/>
      <c r="K238" s="45"/>
      <c r="L238" s="47"/>
      <c r="M238" s="47"/>
      <c r="N238" s="45"/>
      <c r="O238" s="45"/>
      <c r="P238" s="45"/>
    </row>
    <row r="239" spans="1:16">
      <c r="A239" s="42">
        <f t="shared" si="3"/>
        <v>225</v>
      </c>
      <c r="B239" s="59"/>
      <c r="C239" s="63" t="s">
        <v>175</v>
      </c>
      <c r="D239" s="121" t="s">
        <v>25</v>
      </c>
      <c r="E239" s="131">
        <f>E237*0.7*1.1</f>
        <v>18.385546666666666</v>
      </c>
      <c r="F239" s="16"/>
      <c r="G239" s="16"/>
      <c r="H239" s="16"/>
      <c r="I239" s="16"/>
      <c r="J239" s="16"/>
      <c r="K239" s="45"/>
      <c r="L239" s="47"/>
      <c r="M239" s="47"/>
      <c r="N239" s="45"/>
      <c r="O239" s="45"/>
      <c r="P239" s="45"/>
    </row>
    <row r="240" spans="1:16">
      <c r="A240" s="42">
        <f t="shared" si="3"/>
        <v>226</v>
      </c>
      <c r="B240" s="59"/>
      <c r="C240" s="63" t="s">
        <v>150</v>
      </c>
      <c r="D240" s="121" t="s">
        <v>25</v>
      </c>
      <c r="E240" s="18">
        <f>E239*2</f>
        <v>36.771093333333333</v>
      </c>
      <c r="F240" s="16"/>
      <c r="G240" s="16"/>
      <c r="H240" s="16"/>
      <c r="I240" s="16"/>
      <c r="J240" s="16"/>
      <c r="K240" s="45"/>
      <c r="L240" s="47"/>
      <c r="M240" s="47"/>
      <c r="N240" s="45"/>
      <c r="O240" s="45"/>
      <c r="P240" s="45"/>
    </row>
    <row r="241" spans="1:16" ht="24">
      <c r="A241" s="42">
        <f t="shared" si="3"/>
        <v>227</v>
      </c>
      <c r="B241" s="59"/>
      <c r="C241" s="62" t="s">
        <v>176</v>
      </c>
      <c r="D241" s="15" t="s">
        <v>60</v>
      </c>
      <c r="E241" s="18">
        <f>6*E233/100</f>
        <v>1.9536000000000002</v>
      </c>
      <c r="F241" s="16"/>
      <c r="G241" s="16"/>
      <c r="H241" s="16"/>
      <c r="I241" s="16"/>
      <c r="J241" s="16"/>
      <c r="K241" s="45"/>
      <c r="L241" s="47"/>
      <c r="M241" s="47"/>
      <c r="N241" s="45"/>
      <c r="O241" s="45"/>
      <c r="P241" s="45"/>
    </row>
    <row r="242" spans="1:16" ht="24">
      <c r="A242" s="42">
        <f t="shared" si="3"/>
        <v>228</v>
      </c>
      <c r="B242" s="59"/>
      <c r="C242" s="62" t="s">
        <v>159</v>
      </c>
      <c r="D242" s="15" t="s">
        <v>25</v>
      </c>
      <c r="E242" s="18">
        <f>1*E233</f>
        <v>32.56</v>
      </c>
      <c r="F242" s="16"/>
      <c r="G242" s="16"/>
      <c r="H242" s="16"/>
      <c r="I242" s="16"/>
      <c r="J242" s="16"/>
      <c r="K242" s="45"/>
      <c r="L242" s="47"/>
      <c r="M242" s="47"/>
      <c r="N242" s="45"/>
      <c r="O242" s="45"/>
      <c r="P242" s="45"/>
    </row>
    <row r="243" spans="1:16" ht="24">
      <c r="A243" s="42">
        <f t="shared" si="3"/>
        <v>229</v>
      </c>
      <c r="B243" s="59"/>
      <c r="C243" s="62" t="s">
        <v>176</v>
      </c>
      <c r="D243" s="15" t="s">
        <v>60</v>
      </c>
      <c r="E243" s="18">
        <f>4*E242/100</f>
        <v>1.3024</v>
      </c>
      <c r="F243" s="16"/>
      <c r="G243" s="16"/>
      <c r="H243" s="16"/>
      <c r="I243" s="16"/>
      <c r="J243" s="16"/>
      <c r="K243" s="45"/>
      <c r="L243" s="47"/>
      <c r="M243" s="47"/>
      <c r="N243" s="45"/>
      <c r="O243" s="45"/>
      <c r="P243" s="45"/>
    </row>
    <row r="244" spans="1:16">
      <c r="A244" s="42">
        <f t="shared" si="3"/>
        <v>230</v>
      </c>
      <c r="B244" s="59"/>
      <c r="C244" s="60" t="s">
        <v>169</v>
      </c>
      <c r="D244" s="15" t="s">
        <v>13</v>
      </c>
      <c r="E244" s="16">
        <f>((E233*1.1*2))</f>
        <v>71.632000000000005</v>
      </c>
      <c r="F244" s="16"/>
      <c r="G244" s="16"/>
      <c r="H244" s="16"/>
      <c r="I244" s="16"/>
      <c r="J244" s="16"/>
      <c r="K244" s="45"/>
      <c r="L244" s="47"/>
      <c r="M244" s="47"/>
      <c r="N244" s="45"/>
      <c r="O244" s="45"/>
      <c r="P244" s="45"/>
    </row>
    <row r="245" spans="1:16" ht="24">
      <c r="A245" s="42">
        <f t="shared" si="3"/>
        <v>231</v>
      </c>
      <c r="B245" s="59"/>
      <c r="C245" s="62" t="s">
        <v>161</v>
      </c>
      <c r="D245" s="15" t="s">
        <v>162</v>
      </c>
      <c r="E245" s="18">
        <f>24*E233/100</f>
        <v>7.8144000000000009</v>
      </c>
      <c r="F245" s="16"/>
      <c r="G245" s="16"/>
      <c r="H245" s="16"/>
      <c r="I245" s="16"/>
      <c r="J245" s="16"/>
      <c r="K245" s="45"/>
      <c r="L245" s="47"/>
      <c r="M245" s="47"/>
      <c r="N245" s="45"/>
      <c r="O245" s="45"/>
      <c r="P245" s="45"/>
    </row>
    <row r="246" spans="1:16" ht="24">
      <c r="A246" s="42">
        <f t="shared" si="3"/>
        <v>232</v>
      </c>
      <c r="B246" s="15"/>
      <c r="C246" s="123" t="s">
        <v>163</v>
      </c>
      <c r="D246" s="124" t="s">
        <v>60</v>
      </c>
      <c r="E246" s="16">
        <f>26*E233/100</f>
        <v>8.4656000000000002</v>
      </c>
      <c r="F246" s="16"/>
      <c r="G246" s="16"/>
      <c r="H246" s="16"/>
      <c r="I246" s="16"/>
      <c r="J246" s="16"/>
      <c r="K246" s="45"/>
      <c r="L246" s="47"/>
      <c r="M246" s="47"/>
      <c r="N246" s="45"/>
      <c r="O246" s="45"/>
      <c r="P246" s="45"/>
    </row>
    <row r="247" spans="1:16" ht="24">
      <c r="A247" s="42">
        <f t="shared" si="3"/>
        <v>233</v>
      </c>
      <c r="B247" s="59"/>
      <c r="C247" s="62" t="s">
        <v>164</v>
      </c>
      <c r="D247" s="15" t="s">
        <v>25</v>
      </c>
      <c r="E247" s="18">
        <f>(E233*1*1.1)/90</f>
        <v>0.39795555555555556</v>
      </c>
      <c r="F247" s="16"/>
      <c r="G247" s="16"/>
      <c r="H247" s="16"/>
      <c r="I247" s="16"/>
      <c r="J247" s="16"/>
      <c r="K247" s="45"/>
      <c r="L247" s="47"/>
      <c r="M247" s="47"/>
      <c r="N247" s="45"/>
      <c r="O247" s="45"/>
      <c r="P247" s="45"/>
    </row>
    <row r="248" spans="1:16">
      <c r="A248" s="42">
        <f t="shared" si="3"/>
        <v>234</v>
      </c>
      <c r="B248" s="59"/>
      <c r="C248" s="63" t="s">
        <v>84</v>
      </c>
      <c r="D248" s="15" t="s">
        <v>25</v>
      </c>
      <c r="E248" s="18">
        <f>(E233*0.3*1.1)/25</f>
        <v>0.42979200000000006</v>
      </c>
      <c r="F248" s="16"/>
      <c r="G248" s="16"/>
      <c r="H248" s="16"/>
      <c r="I248" s="16"/>
      <c r="J248" s="16"/>
      <c r="K248" s="45"/>
      <c r="L248" s="47"/>
      <c r="M248" s="47"/>
      <c r="N248" s="45"/>
      <c r="O248" s="45"/>
      <c r="P248" s="45"/>
    </row>
    <row r="249" spans="1:16">
      <c r="A249" s="42">
        <f t="shared" si="3"/>
        <v>235</v>
      </c>
      <c r="B249" s="114"/>
      <c r="C249" s="80" t="s">
        <v>179</v>
      </c>
      <c r="D249" s="117" t="s">
        <v>13</v>
      </c>
      <c r="E249" s="21">
        <v>36</v>
      </c>
      <c r="F249" s="21"/>
      <c r="G249" s="16"/>
      <c r="H249" s="21"/>
      <c r="I249" s="21"/>
      <c r="J249" s="16"/>
      <c r="K249" s="21"/>
      <c r="L249" s="21"/>
      <c r="M249" s="21"/>
      <c r="N249" s="21"/>
      <c r="O249" s="21"/>
      <c r="P249" s="21"/>
    </row>
    <row r="250" spans="1:16">
      <c r="A250" s="42">
        <f t="shared" si="3"/>
        <v>236</v>
      </c>
      <c r="B250" s="17"/>
      <c r="C250" s="61" t="s">
        <v>123</v>
      </c>
      <c r="D250" s="117" t="s">
        <v>25</v>
      </c>
      <c r="E250" s="21">
        <f>0.5*E249/5</f>
        <v>3.6</v>
      </c>
      <c r="F250" s="21"/>
      <c r="G250" s="16"/>
      <c r="H250" s="21"/>
      <c r="I250" s="21"/>
      <c r="J250" s="16"/>
      <c r="K250" s="45"/>
      <c r="L250" s="47"/>
      <c r="M250" s="47"/>
      <c r="N250" s="45"/>
      <c r="O250" s="45"/>
      <c r="P250" s="45"/>
    </row>
    <row r="251" spans="1:16">
      <c r="A251" s="42">
        <f t="shared" si="3"/>
        <v>237</v>
      </c>
      <c r="B251" s="17"/>
      <c r="C251" s="61" t="s">
        <v>124</v>
      </c>
      <c r="D251" s="117" t="s">
        <v>25</v>
      </c>
      <c r="E251" s="21">
        <f>E250</f>
        <v>3.6</v>
      </c>
      <c r="F251" s="21"/>
      <c r="G251" s="16"/>
      <c r="H251" s="21"/>
      <c r="I251" s="21"/>
      <c r="J251" s="16"/>
      <c r="K251" s="45"/>
      <c r="L251" s="47"/>
      <c r="M251" s="47"/>
      <c r="N251" s="45"/>
      <c r="O251" s="45"/>
      <c r="P251" s="45"/>
    </row>
    <row r="252" spans="1:16">
      <c r="A252" s="42">
        <f t="shared" si="3"/>
        <v>238</v>
      </c>
      <c r="B252" s="59"/>
      <c r="C252" s="80" t="s">
        <v>180</v>
      </c>
      <c r="D252" s="117" t="s">
        <v>13</v>
      </c>
      <c r="E252" s="21">
        <v>36</v>
      </c>
      <c r="F252" s="21"/>
      <c r="G252" s="16"/>
      <c r="H252" s="21"/>
      <c r="I252" s="21"/>
      <c r="J252" s="16"/>
      <c r="K252" s="21"/>
      <c r="L252" s="21"/>
      <c r="M252" s="21"/>
      <c r="N252" s="21"/>
      <c r="O252" s="21"/>
      <c r="P252" s="21"/>
    </row>
    <row r="253" spans="1:16">
      <c r="A253" s="42">
        <f t="shared" si="3"/>
        <v>239</v>
      </c>
      <c r="B253" s="87"/>
      <c r="C253" s="61" t="s">
        <v>181</v>
      </c>
      <c r="D253" s="117" t="s">
        <v>13</v>
      </c>
      <c r="E253" s="21">
        <f>E252*1.1</f>
        <v>39.6</v>
      </c>
      <c r="F253" s="21"/>
      <c r="G253" s="16"/>
      <c r="H253" s="21"/>
      <c r="I253" s="21"/>
      <c r="J253" s="16"/>
      <c r="K253" s="45"/>
      <c r="L253" s="47"/>
      <c r="M253" s="47"/>
      <c r="N253" s="45"/>
      <c r="O253" s="45"/>
      <c r="P253" s="45"/>
    </row>
    <row r="254" spans="1:16">
      <c r="A254" s="42">
        <f t="shared" si="3"/>
        <v>240</v>
      </c>
      <c r="B254" s="59"/>
      <c r="C254" s="61" t="s">
        <v>182</v>
      </c>
      <c r="D254" s="117" t="s">
        <v>14</v>
      </c>
      <c r="E254" s="21">
        <f>(E252*4)/25</f>
        <v>5.76</v>
      </c>
      <c r="F254" s="21"/>
      <c r="G254" s="16"/>
      <c r="H254" s="21"/>
      <c r="I254" s="21"/>
      <c r="J254" s="16"/>
      <c r="K254" s="45"/>
      <c r="L254" s="47"/>
      <c r="M254" s="47"/>
      <c r="N254" s="45"/>
      <c r="O254" s="45"/>
      <c r="P254" s="45"/>
    </row>
    <row r="255" spans="1:16">
      <c r="A255" s="42">
        <f t="shared" si="3"/>
        <v>241</v>
      </c>
      <c r="B255" s="59"/>
      <c r="C255" s="61" t="s">
        <v>128</v>
      </c>
      <c r="D255" s="117" t="s">
        <v>14</v>
      </c>
      <c r="E255" s="21">
        <f>(E252*0.4)/2</f>
        <v>7.2</v>
      </c>
      <c r="F255" s="21"/>
      <c r="G255" s="16"/>
      <c r="H255" s="21"/>
      <c r="I255" s="21"/>
      <c r="J255" s="16"/>
      <c r="K255" s="45"/>
      <c r="L255" s="47"/>
      <c r="M255" s="47"/>
      <c r="N255" s="45"/>
      <c r="O255" s="45"/>
      <c r="P255" s="45"/>
    </row>
    <row r="256" spans="1:16">
      <c r="A256" s="42">
        <f t="shared" si="3"/>
        <v>242</v>
      </c>
      <c r="B256" s="59"/>
      <c r="C256" s="61" t="s">
        <v>183</v>
      </c>
      <c r="D256" s="117" t="s">
        <v>14</v>
      </c>
      <c r="E256" s="21">
        <f>0.5*E252</f>
        <v>18</v>
      </c>
      <c r="F256" s="21"/>
      <c r="G256" s="16"/>
      <c r="H256" s="21"/>
      <c r="I256" s="21"/>
      <c r="J256" s="16"/>
      <c r="K256" s="45"/>
      <c r="L256" s="47"/>
      <c r="M256" s="47"/>
      <c r="N256" s="45"/>
      <c r="O256" s="45"/>
      <c r="P256" s="45"/>
    </row>
    <row r="257" spans="1:16">
      <c r="A257" s="42">
        <f t="shared" si="3"/>
        <v>243</v>
      </c>
      <c r="B257" s="59"/>
      <c r="C257" s="61" t="s">
        <v>38</v>
      </c>
      <c r="D257" s="117" t="s">
        <v>14</v>
      </c>
      <c r="E257" s="21">
        <v>1</v>
      </c>
      <c r="F257" s="21"/>
      <c r="G257" s="16"/>
      <c r="H257" s="21"/>
      <c r="I257" s="21"/>
      <c r="J257" s="16"/>
      <c r="K257" s="45"/>
      <c r="L257" s="47"/>
      <c r="M257" s="47"/>
      <c r="N257" s="45"/>
      <c r="O257" s="45"/>
      <c r="P257" s="45"/>
    </row>
    <row r="258" spans="1:16" ht="24">
      <c r="A258" s="42">
        <f t="shared" si="3"/>
        <v>244</v>
      </c>
      <c r="B258" s="73"/>
      <c r="C258" s="90" t="s">
        <v>192</v>
      </c>
      <c r="D258" s="23" t="s">
        <v>13</v>
      </c>
      <c r="E258" s="45">
        <v>288.95</v>
      </c>
      <c r="F258" s="67"/>
      <c r="G258" s="16"/>
      <c r="H258" s="43"/>
      <c r="I258" s="43"/>
      <c r="J258" s="16"/>
      <c r="K258" s="43"/>
      <c r="L258" s="43"/>
      <c r="M258" s="43"/>
      <c r="N258" s="43"/>
      <c r="O258" s="43"/>
      <c r="P258" s="43"/>
    </row>
    <row r="259" spans="1:16">
      <c r="A259" s="42">
        <f t="shared" si="3"/>
        <v>245</v>
      </c>
      <c r="B259" s="122"/>
      <c r="C259" s="46" t="s">
        <v>77</v>
      </c>
      <c r="D259" s="23" t="s">
        <v>25</v>
      </c>
      <c r="E259" s="45">
        <f>1*E258/25</f>
        <v>11.558</v>
      </c>
      <c r="F259" s="67"/>
      <c r="G259" s="16"/>
      <c r="H259" s="43"/>
      <c r="I259" s="45"/>
      <c r="J259" s="16"/>
      <c r="K259" s="45"/>
      <c r="L259" s="47"/>
      <c r="M259" s="47"/>
      <c r="N259" s="45"/>
      <c r="O259" s="45"/>
      <c r="P259" s="45"/>
    </row>
    <row r="260" spans="1:16" ht="24">
      <c r="A260" s="42">
        <f t="shared" si="3"/>
        <v>246</v>
      </c>
      <c r="B260" s="122"/>
      <c r="C260" s="48" t="s">
        <v>78</v>
      </c>
      <c r="D260" s="23" t="s">
        <v>25</v>
      </c>
      <c r="E260" s="45">
        <f>0.5*E258/28</f>
        <v>5.1598214285714281</v>
      </c>
      <c r="F260" s="67"/>
      <c r="G260" s="16"/>
      <c r="H260" s="43"/>
      <c r="I260" s="45"/>
      <c r="J260" s="16"/>
      <c r="K260" s="45"/>
      <c r="L260" s="47"/>
      <c r="M260" s="47"/>
      <c r="N260" s="45"/>
      <c r="O260" s="45"/>
      <c r="P260" s="45"/>
    </row>
    <row r="261" spans="1:16">
      <c r="A261" s="42">
        <f t="shared" si="3"/>
        <v>247</v>
      </c>
      <c r="B261" s="122"/>
      <c r="C261" s="46" t="s">
        <v>79</v>
      </c>
      <c r="D261" s="23" t="s">
        <v>25</v>
      </c>
      <c r="E261" s="45">
        <f>0.15*E258/15</f>
        <v>2.8894999999999995</v>
      </c>
      <c r="F261" s="67"/>
      <c r="G261" s="16"/>
      <c r="H261" s="43"/>
      <c r="I261" s="45"/>
      <c r="J261" s="16"/>
      <c r="K261" s="45"/>
      <c r="L261" s="47"/>
      <c r="M261" s="47"/>
      <c r="N261" s="45"/>
      <c r="O261" s="45"/>
      <c r="P261" s="45"/>
    </row>
    <row r="262" spans="1:16">
      <c r="A262" s="42">
        <f t="shared" si="3"/>
        <v>248</v>
      </c>
      <c r="B262" s="122"/>
      <c r="C262" s="57" t="s">
        <v>80</v>
      </c>
      <c r="D262" s="23" t="s">
        <v>25</v>
      </c>
      <c r="E262" s="45">
        <f>E258*0.3/3</f>
        <v>28.894999999999996</v>
      </c>
      <c r="F262" s="67"/>
      <c r="G262" s="16"/>
      <c r="H262" s="43"/>
      <c r="I262" s="45"/>
      <c r="J262" s="16"/>
      <c r="K262" s="45"/>
      <c r="L262" s="47"/>
      <c r="M262" s="47"/>
      <c r="N262" s="45"/>
      <c r="O262" s="45"/>
      <c r="P262" s="45"/>
    </row>
    <row r="263" spans="1:16">
      <c r="A263" s="42">
        <f t="shared" si="3"/>
        <v>249</v>
      </c>
      <c r="B263" s="122"/>
      <c r="C263" s="46" t="s">
        <v>76</v>
      </c>
      <c r="D263" s="23" t="s">
        <v>66</v>
      </c>
      <c r="E263" s="45">
        <f>0.015*E258</f>
        <v>4.3342499999999999</v>
      </c>
      <c r="F263" s="67"/>
      <c r="G263" s="16"/>
      <c r="H263" s="43"/>
      <c r="I263" s="45"/>
      <c r="J263" s="16"/>
      <c r="K263" s="45"/>
      <c r="L263" s="47"/>
      <c r="M263" s="47"/>
      <c r="N263" s="45"/>
      <c r="O263" s="45"/>
      <c r="P263" s="45"/>
    </row>
    <row r="264" spans="1:16">
      <c r="A264" s="42">
        <f t="shared" si="3"/>
        <v>250</v>
      </c>
      <c r="B264" s="135"/>
      <c r="C264" s="91" t="s">
        <v>193</v>
      </c>
      <c r="D264" s="23" t="s">
        <v>13</v>
      </c>
      <c r="E264" s="45">
        <v>288.95</v>
      </c>
      <c r="F264" s="67"/>
      <c r="G264" s="16"/>
      <c r="H264" s="43"/>
      <c r="I264" s="43"/>
      <c r="J264" s="16"/>
      <c r="K264" s="43"/>
      <c r="L264" s="43"/>
      <c r="M264" s="43"/>
      <c r="N264" s="43"/>
      <c r="O264" s="43"/>
      <c r="P264" s="43"/>
    </row>
    <row r="265" spans="1:16" ht="24">
      <c r="A265" s="42">
        <f t="shared" si="3"/>
        <v>251</v>
      </c>
      <c r="B265" s="122"/>
      <c r="C265" s="48" t="s">
        <v>81</v>
      </c>
      <c r="D265" s="23" t="s">
        <v>37</v>
      </c>
      <c r="E265" s="24">
        <f>0.05*E264</f>
        <v>14.4475</v>
      </c>
      <c r="F265" s="67"/>
      <c r="G265" s="16"/>
      <c r="H265" s="43"/>
      <c r="I265" s="45"/>
      <c r="J265" s="16"/>
      <c r="K265" s="45"/>
      <c r="L265" s="47"/>
      <c r="M265" s="47"/>
      <c r="N265" s="45"/>
      <c r="O265" s="45"/>
      <c r="P265" s="45"/>
    </row>
    <row r="266" spans="1:16">
      <c r="A266" s="42">
        <f t="shared" si="3"/>
        <v>252</v>
      </c>
      <c r="B266" s="122"/>
      <c r="C266" s="46" t="s">
        <v>82</v>
      </c>
      <c r="D266" s="23" t="s">
        <v>25</v>
      </c>
      <c r="E266" s="45">
        <f>E264*0.03</f>
        <v>8.6684999999999999</v>
      </c>
      <c r="F266" s="67"/>
      <c r="G266" s="16"/>
      <c r="H266" s="43"/>
      <c r="I266" s="45"/>
      <c r="J266" s="16"/>
      <c r="K266" s="45"/>
      <c r="L266" s="47"/>
      <c r="M266" s="47"/>
      <c r="N266" s="45"/>
      <c r="O266" s="45"/>
      <c r="P266" s="45"/>
    </row>
    <row r="267" spans="1:16">
      <c r="A267" s="42">
        <f t="shared" si="3"/>
        <v>253</v>
      </c>
      <c r="B267" s="122"/>
      <c r="C267" s="46" t="s">
        <v>83</v>
      </c>
      <c r="D267" s="23" t="s">
        <v>25</v>
      </c>
      <c r="E267" s="45">
        <f>0.2*E264/9</f>
        <v>6.4211111111111112</v>
      </c>
      <c r="F267" s="67"/>
      <c r="G267" s="16"/>
      <c r="H267" s="43"/>
      <c r="I267" s="45"/>
      <c r="J267" s="16"/>
      <c r="K267" s="45"/>
      <c r="L267" s="47"/>
      <c r="M267" s="47"/>
      <c r="N267" s="45"/>
      <c r="O267" s="45"/>
      <c r="P267" s="45"/>
    </row>
    <row r="268" spans="1:16">
      <c r="A268" s="42">
        <f t="shared" si="3"/>
        <v>254</v>
      </c>
      <c r="B268" s="17"/>
      <c r="C268" s="128" t="s">
        <v>194</v>
      </c>
      <c r="D268" s="7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1:16" ht="24">
      <c r="A269" s="42">
        <f t="shared" si="3"/>
        <v>255</v>
      </c>
      <c r="B269" s="72"/>
      <c r="C269" s="89" t="s">
        <v>195</v>
      </c>
      <c r="D269" s="15" t="s">
        <v>24</v>
      </c>
      <c r="E269" s="18">
        <v>6</v>
      </c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1:16" ht="24">
      <c r="A270" s="42">
        <f t="shared" si="3"/>
        <v>256</v>
      </c>
      <c r="B270" s="72"/>
      <c r="C270" s="65" t="s">
        <v>196</v>
      </c>
      <c r="D270" s="15" t="s">
        <v>24</v>
      </c>
      <c r="E270" s="18">
        <v>1</v>
      </c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1:16">
      <c r="A271" s="42">
        <f t="shared" si="3"/>
        <v>257</v>
      </c>
      <c r="B271" s="72"/>
      <c r="C271" s="65" t="s">
        <v>197</v>
      </c>
      <c r="D271" s="15" t="s">
        <v>24</v>
      </c>
      <c r="E271" s="18">
        <v>2</v>
      </c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6">
      <c r="A272" s="42">
        <f t="shared" si="3"/>
        <v>258</v>
      </c>
      <c r="B272" s="72"/>
      <c r="C272" s="65" t="s">
        <v>198</v>
      </c>
      <c r="D272" s="15" t="s">
        <v>24</v>
      </c>
      <c r="E272" s="18">
        <v>1</v>
      </c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1:16">
      <c r="A273" s="42">
        <f t="shared" ref="A273:A281" si="4">A272+1</f>
        <v>259</v>
      </c>
      <c r="B273" s="72"/>
      <c r="C273" s="64" t="s">
        <v>199</v>
      </c>
      <c r="D273" s="15" t="s">
        <v>24</v>
      </c>
      <c r="E273" s="18">
        <v>1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1:16">
      <c r="A274" s="42">
        <f t="shared" si="4"/>
        <v>260</v>
      </c>
      <c r="B274" s="72"/>
      <c r="C274" s="64" t="s">
        <v>200</v>
      </c>
      <c r="D274" s="15" t="s">
        <v>24</v>
      </c>
      <c r="E274" s="18">
        <v>1</v>
      </c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1:16">
      <c r="A275" s="42">
        <f t="shared" si="4"/>
        <v>261</v>
      </c>
      <c r="B275" s="72"/>
      <c r="C275" s="65" t="s">
        <v>38</v>
      </c>
      <c r="D275" s="15" t="s">
        <v>24</v>
      </c>
      <c r="E275" s="18">
        <v>1</v>
      </c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1:16" ht="24">
      <c r="A276" s="42">
        <f t="shared" si="4"/>
        <v>262</v>
      </c>
      <c r="B276" s="132"/>
      <c r="C276" s="79" t="s">
        <v>201</v>
      </c>
      <c r="D276" s="23" t="s">
        <v>24</v>
      </c>
      <c r="E276" s="45">
        <v>6</v>
      </c>
      <c r="F276" s="45"/>
      <c r="G276" s="16"/>
      <c r="H276" s="45"/>
      <c r="I276" s="45"/>
      <c r="J276" s="45"/>
      <c r="K276" s="45"/>
      <c r="L276" s="45"/>
      <c r="M276" s="45"/>
      <c r="N276" s="45"/>
      <c r="O276" s="45"/>
      <c r="P276" s="45"/>
    </row>
    <row r="277" spans="1:16" ht="24">
      <c r="A277" s="42">
        <f t="shared" si="4"/>
        <v>263</v>
      </c>
      <c r="B277" s="132"/>
      <c r="C277" s="48" t="s">
        <v>202</v>
      </c>
      <c r="D277" s="23" t="s">
        <v>25</v>
      </c>
      <c r="E277" s="45">
        <f>E276</f>
        <v>6</v>
      </c>
      <c r="F277" s="45"/>
      <c r="G277" s="16"/>
      <c r="H277" s="45"/>
      <c r="I277" s="45"/>
      <c r="J277" s="16"/>
      <c r="K277" s="45"/>
      <c r="L277" s="47"/>
      <c r="M277" s="47"/>
      <c r="N277" s="45"/>
      <c r="O277" s="45"/>
      <c r="P277" s="45"/>
    </row>
    <row r="278" spans="1:16" ht="24">
      <c r="A278" s="42">
        <f t="shared" si="4"/>
        <v>264</v>
      </c>
      <c r="B278" s="72"/>
      <c r="C278" s="88" t="s">
        <v>203</v>
      </c>
      <c r="D278" s="15" t="s">
        <v>14</v>
      </c>
      <c r="E278" s="16">
        <v>3</v>
      </c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>
      <c r="A279" s="42">
        <f t="shared" si="4"/>
        <v>265</v>
      </c>
      <c r="B279" s="72"/>
      <c r="C279" s="128" t="s">
        <v>194</v>
      </c>
      <c r="D279" s="15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>
      <c r="A280" s="42">
        <f t="shared" si="4"/>
        <v>266</v>
      </c>
      <c r="B280" s="132"/>
      <c r="C280" s="79" t="s">
        <v>204</v>
      </c>
      <c r="D280" s="23" t="s">
        <v>24</v>
      </c>
      <c r="E280" s="45">
        <v>1</v>
      </c>
      <c r="F280" s="45"/>
      <c r="G280" s="16"/>
      <c r="H280" s="45"/>
      <c r="I280" s="45"/>
      <c r="J280" s="45"/>
      <c r="K280" s="45"/>
      <c r="L280" s="45"/>
      <c r="M280" s="45"/>
      <c r="N280" s="45"/>
      <c r="O280" s="45"/>
      <c r="P280" s="45"/>
    </row>
    <row r="281" spans="1:16" ht="36">
      <c r="A281" s="42">
        <f t="shared" si="4"/>
        <v>267</v>
      </c>
      <c r="B281" s="132"/>
      <c r="C281" s="48" t="s">
        <v>205</v>
      </c>
      <c r="D281" s="23" t="s">
        <v>24</v>
      </c>
      <c r="E281" s="45">
        <f>E280</f>
        <v>1</v>
      </c>
      <c r="F281" s="45"/>
      <c r="G281" s="16"/>
      <c r="H281" s="45"/>
      <c r="I281" s="45"/>
      <c r="J281" s="16"/>
      <c r="K281" s="45"/>
      <c r="L281" s="47"/>
      <c r="M281" s="47"/>
      <c r="N281" s="45"/>
      <c r="O281" s="45"/>
      <c r="P281" s="45"/>
    </row>
    <row r="282" spans="1:16">
      <c r="A282" s="42"/>
      <c r="B282" s="17"/>
      <c r="C282" s="71"/>
      <c r="D282" s="7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2" t="s">
        <v>2</v>
      </c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9">
        <f>SUM(L15:L282)</f>
        <v>0</v>
      </c>
      <c r="M283" s="19">
        <f>SUM(M15:M282)</f>
        <v>0</v>
      </c>
      <c r="N283" s="19">
        <f>SUM(N15:N282)</f>
        <v>0</v>
      </c>
      <c r="O283" s="19">
        <f>SUM(O15:O282)</f>
        <v>0</v>
      </c>
      <c r="P283" s="19">
        <f>SUM(P15:P282)</f>
        <v>0</v>
      </c>
    </row>
    <row r="284" spans="1:16">
      <c r="A284" s="162" t="s">
        <v>85</v>
      </c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20"/>
      <c r="M284" s="20"/>
      <c r="N284" s="20"/>
      <c r="O284" s="20"/>
      <c r="P284" s="19">
        <f>0.1*N283</f>
        <v>0</v>
      </c>
    </row>
    <row r="285" spans="1:16">
      <c r="A285" s="162" t="s">
        <v>2</v>
      </c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9">
        <f>SUM(L283:L284)</f>
        <v>0</v>
      </c>
      <c r="M285" s="19">
        <f>SUM(M283:M284)</f>
        <v>0</v>
      </c>
      <c r="N285" s="19">
        <f>SUM(N283:N284)</f>
        <v>0</v>
      </c>
      <c r="O285" s="19">
        <f>SUM(O283:O284)</f>
        <v>0</v>
      </c>
      <c r="P285" s="19">
        <f>SUM(P283:P284)</f>
        <v>0</v>
      </c>
    </row>
    <row r="286" spans="1:16" ht="17.100000000000001" customHeight="1">
      <c r="A286" s="11" t="s">
        <v>15</v>
      </c>
    </row>
    <row r="287" spans="1:16">
      <c r="B287" s="12" t="s">
        <v>16</v>
      </c>
    </row>
    <row r="289" spans="1:8">
      <c r="A289" s="13"/>
      <c r="B289" s="38"/>
      <c r="C289" s="39"/>
      <c r="H289" s="13"/>
    </row>
    <row r="290" spans="1:8">
      <c r="A290" s="40"/>
      <c r="B290" s="41"/>
      <c r="C290" s="14"/>
      <c r="F290" s="14"/>
    </row>
  </sheetData>
  <mergeCells count="14">
    <mergeCell ref="A285:K285"/>
    <mergeCell ref="A283:K283"/>
    <mergeCell ref="A284:K284"/>
    <mergeCell ref="A13:A14"/>
    <mergeCell ref="B13:B14"/>
    <mergeCell ref="E13:E14"/>
    <mergeCell ref="F13:K13"/>
    <mergeCell ref="C13:C14"/>
    <mergeCell ref="D13:D14"/>
    <mergeCell ref="A2:P2"/>
    <mergeCell ref="A3:P3"/>
    <mergeCell ref="L13:P13"/>
    <mergeCell ref="O9:P9"/>
    <mergeCell ref="L9:N9"/>
  </mergeCells>
  <phoneticPr fontId="2" type="noConversion"/>
  <printOptions horizontalCentered="1"/>
  <pageMargins left="0.19685039370078741" right="0.19685039370078741" top="0.78740157480314965" bottom="0.39370078740157483" header="0.51181102362204722" footer="0.19685039370078741"/>
  <pageSetup paperSize="9" scale="97" fitToHeight="0" orientation="landscape" r:id="rId1"/>
  <headerFooter alignWithMargins="0"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Zeros="0" topLeftCell="A19" zoomScale="92" workbookViewId="0">
      <selection activeCell="I14" sqref="I14"/>
    </sheetView>
  </sheetViews>
  <sheetFormatPr defaultRowHeight="12"/>
  <cols>
    <col min="1" max="1" width="4.140625" style="1" customWidth="1"/>
    <col min="2" max="2" width="9" style="12" customWidth="1"/>
    <col min="3" max="3" width="30.140625" style="1" customWidth="1"/>
    <col min="4" max="4" width="6.140625" style="1" bestFit="1" customWidth="1"/>
    <col min="5" max="5" width="9.7109375" style="1" bestFit="1" customWidth="1"/>
    <col min="6" max="6" width="6" style="1" customWidth="1"/>
    <col min="7" max="7" width="8" style="1" customWidth="1"/>
    <col min="8" max="8" width="6.7109375" style="1" bestFit="1" customWidth="1"/>
    <col min="9" max="9" width="8.28515625" style="1" bestFit="1" customWidth="1"/>
    <col min="10" max="10" width="6.7109375" style="1" bestFit="1" customWidth="1"/>
    <col min="11" max="11" width="7.85546875" style="1" bestFit="1" customWidth="1"/>
    <col min="12" max="12" width="8.28515625" style="1" customWidth="1"/>
    <col min="13" max="13" width="9.85546875" style="1" customWidth="1"/>
    <col min="14" max="14" width="9.7109375" style="1" bestFit="1" customWidth="1"/>
    <col min="15" max="15" width="8.7109375" style="1" bestFit="1" customWidth="1"/>
    <col min="16" max="16" width="10.140625" style="1" customWidth="1"/>
    <col min="17" max="16384" width="9.140625" style="1"/>
  </cols>
  <sheetData>
    <row r="1" spans="1:16" ht="12.7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2.75">
      <c r="A2" s="158" t="s">
        <v>210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2.75">
      <c r="A3" s="158" t="s">
        <v>434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12.75">
      <c r="A4" s="96"/>
      <c r="B4" s="2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2.75">
      <c r="A5" s="95" t="s">
        <v>90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2.75">
      <c r="A6" s="32" t="s">
        <v>89</v>
      </c>
      <c r="B6" s="29"/>
      <c r="C6" s="33"/>
      <c r="D6" s="3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2.75">
      <c r="A7" s="95" t="s">
        <v>39</v>
      </c>
      <c r="B7" s="29"/>
      <c r="C7" s="33"/>
      <c r="D7" s="34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2.75">
      <c r="A8" s="35"/>
      <c r="B8" s="36"/>
      <c r="C8" s="33"/>
      <c r="D8" s="34"/>
      <c r="E8" s="31"/>
      <c r="F8" s="28"/>
      <c r="G8" s="31"/>
      <c r="H8" s="31"/>
      <c r="I8" s="31"/>
      <c r="J8" s="31"/>
      <c r="K8" s="31"/>
      <c r="L8" s="28"/>
      <c r="M8" s="31"/>
      <c r="N8" s="37"/>
      <c r="O8" s="37"/>
      <c r="P8" s="31"/>
    </row>
    <row r="9" spans="1:16" ht="12.75">
      <c r="A9" s="32" t="s">
        <v>4</v>
      </c>
      <c r="B9" s="36"/>
      <c r="C9" s="33"/>
      <c r="D9" s="34"/>
      <c r="E9" s="31"/>
      <c r="F9" s="28"/>
      <c r="G9" s="31"/>
      <c r="H9" s="31"/>
      <c r="I9" s="31"/>
      <c r="J9" s="31"/>
      <c r="K9" s="31"/>
      <c r="L9" s="161"/>
      <c r="M9" s="161"/>
      <c r="N9" s="161"/>
      <c r="O9" s="160">
        <f>P37</f>
        <v>0</v>
      </c>
      <c r="P9" s="160"/>
    </row>
    <row r="10" spans="1:16" ht="12.75">
      <c r="A10" s="32" t="s">
        <v>36</v>
      </c>
      <c r="B10" s="36"/>
      <c r="C10" s="33"/>
      <c r="D10" s="34"/>
      <c r="E10" s="31"/>
      <c r="F10" s="28"/>
      <c r="G10" s="31"/>
      <c r="H10" s="31"/>
      <c r="I10" s="31"/>
      <c r="J10" s="31"/>
      <c r="K10" s="31"/>
      <c r="L10" s="28"/>
      <c r="M10" s="31"/>
      <c r="N10" s="37"/>
      <c r="O10" s="37"/>
      <c r="P10" s="31"/>
    </row>
    <row r="11" spans="1:16">
      <c r="A11" s="6"/>
      <c r="B11" s="7"/>
      <c r="C11" s="4"/>
      <c r="D11" s="5"/>
      <c r="E11" s="3"/>
      <c r="F11" s="8"/>
      <c r="G11" s="3"/>
      <c r="H11" s="3"/>
      <c r="I11" s="3"/>
      <c r="J11" s="3"/>
      <c r="K11" s="3"/>
      <c r="L11" s="8"/>
      <c r="M11" s="3"/>
      <c r="N11" s="9"/>
      <c r="O11" s="3"/>
      <c r="P11" s="3"/>
    </row>
    <row r="12" spans="1:16">
      <c r="A12" s="10"/>
      <c r="B12" s="7"/>
      <c r="C12" s="2"/>
      <c r="D12" s="3"/>
      <c r="E12" s="3"/>
      <c r="F12" s="3"/>
      <c r="G12" s="3"/>
      <c r="H12" s="3"/>
      <c r="I12" s="3"/>
      <c r="J12" s="3"/>
      <c r="K12" s="3"/>
      <c r="L12" s="8"/>
      <c r="M12" s="3"/>
      <c r="N12" s="3"/>
      <c r="O12" s="3"/>
      <c r="P12" s="3"/>
    </row>
    <row r="13" spans="1:16" ht="12" customHeight="1">
      <c r="A13" s="163" t="s">
        <v>5</v>
      </c>
      <c r="B13" s="164" t="s">
        <v>6</v>
      </c>
      <c r="C13" s="167" t="s">
        <v>7</v>
      </c>
      <c r="D13" s="165" t="s">
        <v>0</v>
      </c>
      <c r="E13" s="165" t="s">
        <v>1</v>
      </c>
      <c r="F13" s="159" t="s">
        <v>8</v>
      </c>
      <c r="G13" s="159"/>
      <c r="H13" s="159"/>
      <c r="I13" s="159"/>
      <c r="J13" s="159"/>
      <c r="K13" s="159"/>
      <c r="L13" s="159" t="s">
        <v>9</v>
      </c>
      <c r="M13" s="159"/>
      <c r="N13" s="159"/>
      <c r="O13" s="159"/>
      <c r="P13" s="159"/>
    </row>
    <row r="14" spans="1:16" ht="77.25" customHeight="1">
      <c r="A14" s="163"/>
      <c r="B14" s="164"/>
      <c r="C14" s="167"/>
      <c r="D14" s="165"/>
      <c r="E14" s="166"/>
      <c r="F14" s="97" t="s">
        <v>10</v>
      </c>
      <c r="G14" s="97" t="s">
        <v>21</v>
      </c>
      <c r="H14" s="97" t="s">
        <v>17</v>
      </c>
      <c r="I14" s="97" t="s">
        <v>18</v>
      </c>
      <c r="J14" s="97" t="s">
        <v>19</v>
      </c>
      <c r="K14" s="97" t="s">
        <v>22</v>
      </c>
      <c r="L14" s="97" t="s">
        <v>11</v>
      </c>
      <c r="M14" s="97" t="s">
        <v>17</v>
      </c>
      <c r="N14" s="97" t="s">
        <v>18</v>
      </c>
      <c r="O14" s="97" t="s">
        <v>19</v>
      </c>
      <c r="P14" s="97" t="s">
        <v>23</v>
      </c>
    </row>
    <row r="15" spans="1:16">
      <c r="A15" s="42"/>
      <c r="B15" s="17"/>
      <c r="C15" s="71"/>
      <c r="D15" s="7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17" t="s">
        <v>3</v>
      </c>
      <c r="B16" s="17"/>
      <c r="C16" s="71" t="s">
        <v>211</v>
      </c>
      <c r="D16" s="76" t="s">
        <v>212</v>
      </c>
      <c r="E16" s="16">
        <v>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>
      <c r="A17" s="42">
        <f>A16+1</f>
        <v>2</v>
      </c>
      <c r="B17" s="17"/>
      <c r="C17" s="71" t="s">
        <v>213</v>
      </c>
      <c r="D17" s="76" t="s">
        <v>214</v>
      </c>
      <c r="E17" s="16">
        <v>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>
      <c r="A18" s="42">
        <f t="shared" ref="A18:A33" si="0">A17+1</f>
        <v>3</v>
      </c>
      <c r="B18" s="17"/>
      <c r="C18" s="71" t="s">
        <v>215</v>
      </c>
      <c r="D18" s="76" t="s">
        <v>214</v>
      </c>
      <c r="E18" s="16">
        <v>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42">
        <f t="shared" si="0"/>
        <v>4</v>
      </c>
      <c r="B19" s="17"/>
      <c r="C19" s="71" t="s">
        <v>216</v>
      </c>
      <c r="D19" s="76" t="s">
        <v>214</v>
      </c>
      <c r="E19" s="16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>
      <c r="A20" s="42">
        <f t="shared" si="0"/>
        <v>5</v>
      </c>
      <c r="B20" s="17"/>
      <c r="C20" s="71" t="s">
        <v>217</v>
      </c>
      <c r="D20" s="76" t="s">
        <v>214</v>
      </c>
      <c r="E20" s="16">
        <v>7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>
      <c r="A21" s="42">
        <f t="shared" si="0"/>
        <v>6</v>
      </c>
      <c r="B21" s="17"/>
      <c r="C21" s="71" t="s">
        <v>218</v>
      </c>
      <c r="D21" s="76" t="s">
        <v>214</v>
      </c>
      <c r="E21" s="16">
        <v>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>
      <c r="A22" s="42">
        <f t="shared" si="0"/>
        <v>7</v>
      </c>
      <c r="B22" s="17"/>
      <c r="C22" s="71" t="s">
        <v>219</v>
      </c>
      <c r="D22" s="76" t="s">
        <v>214</v>
      </c>
      <c r="E22" s="16">
        <v>5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>
      <c r="A23" s="42">
        <f t="shared" si="0"/>
        <v>8</v>
      </c>
      <c r="B23" s="17"/>
      <c r="C23" s="71" t="s">
        <v>220</v>
      </c>
      <c r="D23" s="76" t="s">
        <v>214</v>
      </c>
      <c r="E23" s="16">
        <v>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>
      <c r="A24" s="42">
        <f t="shared" si="0"/>
        <v>9</v>
      </c>
      <c r="B24" s="17"/>
      <c r="C24" s="71" t="s">
        <v>221</v>
      </c>
      <c r="D24" s="76" t="s">
        <v>214</v>
      </c>
      <c r="E24" s="16">
        <v>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A25" s="42">
        <f t="shared" si="0"/>
        <v>10</v>
      </c>
      <c r="B25" s="17"/>
      <c r="C25" s="71" t="s">
        <v>222</v>
      </c>
      <c r="D25" s="76" t="s">
        <v>214</v>
      </c>
      <c r="E25" s="16">
        <v>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>
      <c r="A26" s="42">
        <f t="shared" si="0"/>
        <v>11</v>
      </c>
      <c r="B26" s="17"/>
      <c r="C26" s="71" t="s">
        <v>223</v>
      </c>
      <c r="D26" s="76" t="s">
        <v>214</v>
      </c>
      <c r="E26" s="16">
        <v>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>
      <c r="A27" s="42">
        <f t="shared" si="0"/>
        <v>12</v>
      </c>
      <c r="B27" s="17"/>
      <c r="C27" s="71" t="s">
        <v>224</v>
      </c>
      <c r="D27" s="76" t="s">
        <v>27</v>
      </c>
      <c r="E27" s="16">
        <v>100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>
      <c r="A28" s="42">
        <f t="shared" si="0"/>
        <v>13</v>
      </c>
      <c r="B28" s="17"/>
      <c r="C28" s="71" t="s">
        <v>225</v>
      </c>
      <c r="D28" s="76" t="s">
        <v>27</v>
      </c>
      <c r="E28" s="16">
        <v>100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>
      <c r="A29" s="42">
        <f t="shared" si="0"/>
        <v>14</v>
      </c>
      <c r="B29" s="17"/>
      <c r="C29" s="71" t="s">
        <v>226</v>
      </c>
      <c r="D29" s="76" t="s">
        <v>27</v>
      </c>
      <c r="E29" s="16">
        <v>100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>
      <c r="A30" s="42">
        <f t="shared" si="0"/>
        <v>15</v>
      </c>
      <c r="B30" s="17"/>
      <c r="C30" s="71" t="s">
        <v>227</v>
      </c>
      <c r="D30" s="76" t="s">
        <v>27</v>
      </c>
      <c r="E30" s="16">
        <v>10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>
      <c r="A31" s="42">
        <f t="shared" si="0"/>
        <v>16</v>
      </c>
      <c r="B31" s="17"/>
      <c r="C31" s="71" t="s">
        <v>228</v>
      </c>
      <c r="D31" s="76" t="s">
        <v>27</v>
      </c>
      <c r="E31" s="16">
        <v>200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>
      <c r="A32" s="42">
        <f t="shared" si="0"/>
        <v>17</v>
      </c>
      <c r="B32" s="17"/>
      <c r="C32" s="71" t="s">
        <v>229</v>
      </c>
      <c r="D32" s="76" t="s">
        <v>212</v>
      </c>
      <c r="E32" s="16">
        <v>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24">
      <c r="A33" s="42">
        <f t="shared" si="0"/>
        <v>18</v>
      </c>
      <c r="B33" s="17"/>
      <c r="C33" s="71" t="s">
        <v>230</v>
      </c>
      <c r="D33" s="76" t="s">
        <v>212</v>
      </c>
      <c r="E33" s="16">
        <v>1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>
      <c r="A34" s="42"/>
      <c r="B34" s="17"/>
      <c r="C34" s="71"/>
      <c r="D34" s="7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>
      <c r="A35" s="162" t="s">
        <v>2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9">
        <f>SUM(L15:L34)</f>
        <v>0</v>
      </c>
      <c r="M35" s="19">
        <f>SUM(M15:M34)</f>
        <v>0</v>
      </c>
      <c r="N35" s="19">
        <f>SUM(N15:N34)</f>
        <v>0</v>
      </c>
      <c r="O35" s="19">
        <f>SUM(O15:O34)</f>
        <v>0</v>
      </c>
      <c r="P35" s="19">
        <f>SUM(P15:P34)</f>
        <v>0</v>
      </c>
    </row>
    <row r="36" spans="1:16">
      <c r="A36" s="162" t="s">
        <v>85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20"/>
      <c r="M36" s="20"/>
      <c r="N36" s="20"/>
      <c r="O36" s="20"/>
      <c r="P36" s="19">
        <f>0.1*N35</f>
        <v>0</v>
      </c>
    </row>
    <row r="37" spans="1:16">
      <c r="A37" s="162" t="s">
        <v>2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9">
        <f>SUM(L35:L36)</f>
        <v>0</v>
      </c>
      <c r="M37" s="19">
        <f>SUM(M35:M36)</f>
        <v>0</v>
      </c>
      <c r="N37" s="19">
        <f>SUM(N35:N36)</f>
        <v>0</v>
      </c>
      <c r="O37" s="19">
        <f>SUM(O35:O36)</f>
        <v>0</v>
      </c>
      <c r="P37" s="19">
        <f>SUM(P35:P36)</f>
        <v>0</v>
      </c>
    </row>
    <row r="38" spans="1:16" ht="17.100000000000001" customHeight="1">
      <c r="A38" s="11" t="s">
        <v>15</v>
      </c>
    </row>
    <row r="39" spans="1:16">
      <c r="B39" s="12" t="s">
        <v>16</v>
      </c>
    </row>
    <row r="41" spans="1:16">
      <c r="A41" s="13"/>
      <c r="B41" s="38"/>
      <c r="C41" s="39"/>
      <c r="H41" s="13"/>
    </row>
    <row r="42" spans="1:16">
      <c r="A42" s="40"/>
      <c r="B42" s="41"/>
      <c r="C42" s="14"/>
      <c r="F42" s="14"/>
    </row>
  </sheetData>
  <mergeCells count="14">
    <mergeCell ref="L13:P13"/>
    <mergeCell ref="A35:K35"/>
    <mergeCell ref="A36:K36"/>
    <mergeCell ref="A37:K37"/>
    <mergeCell ref="A2:P2"/>
    <mergeCell ref="A3:P3"/>
    <mergeCell ref="L9:N9"/>
    <mergeCell ref="O9:P9"/>
    <mergeCell ref="A13:A14"/>
    <mergeCell ref="B13:B14"/>
    <mergeCell ref="C13:C14"/>
    <mergeCell ref="D13:D14"/>
    <mergeCell ref="E13:E14"/>
    <mergeCell ref="F13:K13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97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92" workbookViewId="0">
      <selection activeCell="G10" sqref="G10"/>
    </sheetView>
  </sheetViews>
  <sheetFormatPr defaultRowHeight="12"/>
  <cols>
    <col min="1" max="1" width="4.140625" style="1" customWidth="1"/>
    <col min="2" max="2" width="9" style="12" customWidth="1"/>
    <col min="3" max="3" width="30.140625" style="1" customWidth="1"/>
    <col min="4" max="4" width="6.140625" style="1" bestFit="1" customWidth="1"/>
    <col min="5" max="5" width="9.7109375" style="1" bestFit="1" customWidth="1"/>
    <col min="6" max="6" width="6" style="1" customWidth="1"/>
    <col min="7" max="7" width="8" style="1" customWidth="1"/>
    <col min="8" max="8" width="6.7109375" style="1" bestFit="1" customWidth="1"/>
    <col min="9" max="9" width="8.28515625" style="1" bestFit="1" customWidth="1"/>
    <col min="10" max="10" width="6.7109375" style="1" bestFit="1" customWidth="1"/>
    <col min="11" max="11" width="7.85546875" style="1" bestFit="1" customWidth="1"/>
    <col min="12" max="12" width="8.28515625" style="1" customWidth="1"/>
    <col min="13" max="13" width="9.85546875" style="1" customWidth="1"/>
    <col min="14" max="14" width="9.7109375" style="1" bestFit="1" customWidth="1"/>
    <col min="15" max="15" width="8.7109375" style="1" bestFit="1" customWidth="1"/>
    <col min="16" max="16" width="10.140625" style="1" customWidth="1"/>
    <col min="17" max="16384" width="9.140625" style="1"/>
  </cols>
  <sheetData>
    <row r="1" spans="1:16" ht="12.7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2.75">
      <c r="A2" s="158" t="s">
        <v>231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2.75">
      <c r="A3" s="158" t="s">
        <v>435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12.75">
      <c r="A4" s="96"/>
      <c r="B4" s="27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2.75">
      <c r="A5" s="95" t="s">
        <v>90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2.75">
      <c r="A6" s="32" t="s">
        <v>89</v>
      </c>
      <c r="B6" s="29"/>
      <c r="C6" s="33"/>
      <c r="D6" s="3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2.75">
      <c r="A7" s="95" t="s">
        <v>39</v>
      </c>
      <c r="B7" s="29"/>
      <c r="C7" s="33"/>
      <c r="D7" s="34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2.75">
      <c r="A8" s="35"/>
      <c r="B8" s="36"/>
      <c r="C8" s="33"/>
      <c r="D8" s="34"/>
      <c r="E8" s="31"/>
      <c r="F8" s="28"/>
      <c r="G8" s="31"/>
      <c r="H8" s="31"/>
      <c r="I8" s="31"/>
      <c r="J8" s="31"/>
      <c r="K8" s="31"/>
      <c r="L8" s="28"/>
      <c r="M8" s="31"/>
      <c r="N8" s="37"/>
      <c r="O8" s="37"/>
      <c r="P8" s="31"/>
    </row>
    <row r="9" spans="1:16" ht="12.75">
      <c r="A9" s="32" t="s">
        <v>4</v>
      </c>
      <c r="B9" s="36"/>
      <c r="C9" s="33"/>
      <c r="D9" s="34"/>
      <c r="E9" s="31"/>
      <c r="F9" s="28"/>
      <c r="G9" s="31"/>
      <c r="H9" s="31"/>
      <c r="I9" s="31"/>
      <c r="J9" s="31"/>
      <c r="K9" s="31"/>
      <c r="L9" s="161"/>
      <c r="M9" s="161"/>
      <c r="N9" s="161"/>
      <c r="O9" s="160">
        <f>P31</f>
        <v>0</v>
      </c>
      <c r="P9" s="160"/>
    </row>
    <row r="10" spans="1:16" ht="12.75">
      <c r="A10" s="32" t="s">
        <v>36</v>
      </c>
      <c r="B10" s="36"/>
      <c r="C10" s="33"/>
      <c r="D10" s="34"/>
      <c r="E10" s="31"/>
      <c r="F10" s="28"/>
      <c r="G10" s="31"/>
      <c r="H10" s="31"/>
      <c r="I10" s="31"/>
      <c r="J10" s="31"/>
      <c r="K10" s="31"/>
      <c r="L10" s="28"/>
      <c r="M10" s="31"/>
      <c r="N10" s="37"/>
      <c r="O10" s="37"/>
      <c r="P10" s="31"/>
    </row>
    <row r="11" spans="1:16">
      <c r="A11" s="6"/>
      <c r="B11" s="7"/>
      <c r="C11" s="4"/>
      <c r="D11" s="5"/>
      <c r="E11" s="3"/>
      <c r="F11" s="8"/>
      <c r="G11" s="3"/>
      <c r="H11" s="3"/>
      <c r="I11" s="3"/>
      <c r="J11" s="3"/>
      <c r="K11" s="3"/>
      <c r="L11" s="8"/>
      <c r="M11" s="3"/>
      <c r="N11" s="9"/>
      <c r="O11" s="3"/>
      <c r="P11" s="3"/>
    </row>
    <row r="12" spans="1:16">
      <c r="A12" s="10"/>
      <c r="B12" s="7"/>
      <c r="C12" s="2"/>
      <c r="D12" s="3"/>
      <c r="E12" s="3"/>
      <c r="F12" s="3"/>
      <c r="G12" s="3"/>
      <c r="H12" s="3"/>
      <c r="I12" s="3"/>
      <c r="J12" s="3"/>
      <c r="K12" s="3"/>
      <c r="L12" s="8"/>
      <c r="M12" s="3"/>
      <c r="N12" s="3"/>
      <c r="O12" s="3"/>
      <c r="P12" s="3"/>
    </row>
    <row r="13" spans="1:16" ht="12" customHeight="1">
      <c r="A13" s="163" t="s">
        <v>5</v>
      </c>
      <c r="B13" s="164" t="s">
        <v>6</v>
      </c>
      <c r="C13" s="167" t="s">
        <v>7</v>
      </c>
      <c r="D13" s="165" t="s">
        <v>0</v>
      </c>
      <c r="E13" s="165" t="s">
        <v>1</v>
      </c>
      <c r="F13" s="159" t="s">
        <v>8</v>
      </c>
      <c r="G13" s="159"/>
      <c r="H13" s="159"/>
      <c r="I13" s="159"/>
      <c r="J13" s="159"/>
      <c r="K13" s="159"/>
      <c r="L13" s="159" t="s">
        <v>9</v>
      </c>
      <c r="M13" s="159"/>
      <c r="N13" s="159"/>
      <c r="O13" s="159"/>
      <c r="P13" s="159"/>
    </row>
    <row r="14" spans="1:16" ht="77.25" customHeight="1">
      <c r="A14" s="163"/>
      <c r="B14" s="164"/>
      <c r="C14" s="167"/>
      <c r="D14" s="165"/>
      <c r="E14" s="166"/>
      <c r="F14" s="97" t="s">
        <v>10</v>
      </c>
      <c r="G14" s="97" t="s">
        <v>21</v>
      </c>
      <c r="H14" s="97" t="s">
        <v>17</v>
      </c>
      <c r="I14" s="97" t="s">
        <v>18</v>
      </c>
      <c r="J14" s="97" t="s">
        <v>19</v>
      </c>
      <c r="K14" s="97" t="s">
        <v>22</v>
      </c>
      <c r="L14" s="97" t="s">
        <v>11</v>
      </c>
      <c r="M14" s="97" t="s">
        <v>17</v>
      </c>
      <c r="N14" s="97" t="s">
        <v>18</v>
      </c>
      <c r="O14" s="97" t="s">
        <v>19</v>
      </c>
      <c r="P14" s="97" t="s">
        <v>23</v>
      </c>
    </row>
    <row r="15" spans="1:16">
      <c r="A15" s="42"/>
      <c r="B15" s="17"/>
      <c r="C15" s="71"/>
      <c r="D15" s="7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17" t="s">
        <v>3</v>
      </c>
      <c r="B16" s="17"/>
      <c r="C16" s="71" t="s">
        <v>232</v>
      </c>
      <c r="D16" s="76" t="s">
        <v>212</v>
      </c>
      <c r="E16" s="16">
        <v>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>
      <c r="A17" s="42">
        <f>A16+1</f>
        <v>2</v>
      </c>
      <c r="B17" s="17"/>
      <c r="C17" s="71" t="s">
        <v>213</v>
      </c>
      <c r="D17" s="76" t="s">
        <v>214</v>
      </c>
      <c r="E17" s="16">
        <v>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>
      <c r="A18" s="42">
        <f t="shared" ref="A18:A27" si="0">A17+1</f>
        <v>3</v>
      </c>
      <c r="B18" s="17"/>
      <c r="C18" s="71" t="s">
        <v>233</v>
      </c>
      <c r="D18" s="76" t="s">
        <v>214</v>
      </c>
      <c r="E18" s="16">
        <v>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42">
        <f t="shared" si="0"/>
        <v>4</v>
      </c>
      <c r="B19" s="17"/>
      <c r="C19" s="71" t="s">
        <v>216</v>
      </c>
      <c r="D19" s="76" t="s">
        <v>214</v>
      </c>
      <c r="E19" s="16">
        <v>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>
      <c r="A20" s="42">
        <f t="shared" si="0"/>
        <v>5</v>
      </c>
      <c r="B20" s="17"/>
      <c r="C20" s="71" t="s">
        <v>234</v>
      </c>
      <c r="D20" s="76" t="s">
        <v>214</v>
      </c>
      <c r="E20" s="16">
        <v>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>
      <c r="A21" s="42">
        <f t="shared" si="0"/>
        <v>6</v>
      </c>
      <c r="B21" s="17"/>
      <c r="C21" s="71" t="s">
        <v>235</v>
      </c>
      <c r="D21" s="76" t="s">
        <v>214</v>
      </c>
      <c r="E21" s="16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>
      <c r="A22" s="42">
        <f t="shared" si="0"/>
        <v>7</v>
      </c>
      <c r="B22" s="17"/>
      <c r="C22" s="71" t="s">
        <v>236</v>
      </c>
      <c r="D22" s="76" t="s">
        <v>214</v>
      </c>
      <c r="E22" s="16">
        <v>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>
      <c r="A23" s="42">
        <f t="shared" si="0"/>
        <v>8</v>
      </c>
      <c r="B23" s="17"/>
      <c r="C23" s="71" t="s">
        <v>237</v>
      </c>
      <c r="D23" s="76" t="s">
        <v>27</v>
      </c>
      <c r="E23" s="16">
        <v>200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>
      <c r="A24" s="42">
        <f t="shared" si="0"/>
        <v>9</v>
      </c>
      <c r="B24" s="17"/>
      <c r="C24" s="71" t="s">
        <v>238</v>
      </c>
      <c r="D24" s="76" t="s">
        <v>27</v>
      </c>
      <c r="E24" s="16">
        <v>10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A25" s="42">
        <f t="shared" si="0"/>
        <v>10</v>
      </c>
      <c r="B25" s="17"/>
      <c r="C25" s="71" t="s">
        <v>228</v>
      </c>
      <c r="D25" s="76" t="s">
        <v>27</v>
      </c>
      <c r="E25" s="16">
        <v>100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>
      <c r="A26" s="42">
        <f t="shared" si="0"/>
        <v>11</v>
      </c>
      <c r="B26" s="17"/>
      <c r="C26" s="71" t="s">
        <v>229</v>
      </c>
      <c r="D26" s="76" t="s">
        <v>212</v>
      </c>
      <c r="E26" s="16">
        <v>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24">
      <c r="A27" s="42">
        <f t="shared" si="0"/>
        <v>12</v>
      </c>
      <c r="B27" s="17"/>
      <c r="C27" s="71" t="s">
        <v>230</v>
      </c>
      <c r="D27" s="76" t="s">
        <v>212</v>
      </c>
      <c r="E27" s="16">
        <v>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>
      <c r="A28" s="42"/>
      <c r="B28" s="17"/>
      <c r="C28" s="71"/>
      <c r="D28" s="7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>
      <c r="A29" s="162" t="s">
        <v>2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9">
        <f>SUM(L15:L28)</f>
        <v>0</v>
      </c>
      <c r="M29" s="19">
        <f>SUM(M15:M28)</f>
        <v>0</v>
      </c>
      <c r="N29" s="19">
        <f>SUM(N15:N28)</f>
        <v>0</v>
      </c>
      <c r="O29" s="19">
        <f>SUM(O15:O28)</f>
        <v>0</v>
      </c>
      <c r="P29" s="19">
        <f>SUM(P15:P28)</f>
        <v>0</v>
      </c>
    </row>
    <row r="30" spans="1:16">
      <c r="A30" s="162" t="s">
        <v>85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20"/>
      <c r="M30" s="20"/>
      <c r="N30" s="20"/>
      <c r="O30" s="20"/>
      <c r="P30" s="19">
        <f>0.1*N29</f>
        <v>0</v>
      </c>
    </row>
    <row r="31" spans="1:16">
      <c r="A31" s="162" t="s">
        <v>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9">
        <f>SUM(L29:L30)</f>
        <v>0</v>
      </c>
      <c r="M31" s="19">
        <f>SUM(M29:M30)</f>
        <v>0</v>
      </c>
      <c r="N31" s="19">
        <f>SUM(N29:N30)</f>
        <v>0</v>
      </c>
      <c r="O31" s="19">
        <f>SUM(O29:O30)</f>
        <v>0</v>
      </c>
      <c r="P31" s="19">
        <f>SUM(P29:P30)</f>
        <v>0</v>
      </c>
    </row>
    <row r="32" spans="1:16" ht="17.100000000000001" customHeight="1">
      <c r="A32" s="11" t="s">
        <v>15</v>
      </c>
    </row>
    <row r="33" spans="1:8">
      <c r="B33" s="12" t="s">
        <v>16</v>
      </c>
    </row>
    <row r="35" spans="1:8">
      <c r="A35" s="13"/>
      <c r="B35" s="38"/>
      <c r="C35" s="39"/>
      <c r="H35" s="13"/>
    </row>
    <row r="36" spans="1:8">
      <c r="A36" s="40"/>
      <c r="B36" s="41"/>
      <c r="C36" s="14"/>
      <c r="F36" s="14"/>
    </row>
  </sheetData>
  <mergeCells count="14">
    <mergeCell ref="L13:P13"/>
    <mergeCell ref="A29:K29"/>
    <mergeCell ref="A30:K30"/>
    <mergeCell ref="A31:K31"/>
    <mergeCell ref="A2:P2"/>
    <mergeCell ref="A3:P3"/>
    <mergeCell ref="L9:N9"/>
    <mergeCell ref="O9:P9"/>
    <mergeCell ref="A13:A14"/>
    <mergeCell ref="B13:B14"/>
    <mergeCell ref="C13:C14"/>
    <mergeCell ref="D13:D14"/>
    <mergeCell ref="E13:E14"/>
    <mergeCell ref="F13:K13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97" fitToHeight="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showZeros="0" zoomScale="92" workbookViewId="0">
      <selection activeCell="H7" sqref="H7"/>
    </sheetView>
  </sheetViews>
  <sheetFormatPr defaultRowHeight="12"/>
  <cols>
    <col min="1" max="1" width="4.140625" style="1" customWidth="1"/>
    <col min="2" max="2" width="9" style="12" customWidth="1"/>
    <col min="3" max="3" width="30.140625" style="1" customWidth="1"/>
    <col min="4" max="4" width="6.140625" style="1" bestFit="1" customWidth="1"/>
    <col min="5" max="5" width="9.7109375" style="1" bestFit="1" customWidth="1"/>
    <col min="6" max="6" width="6" style="1" customWidth="1"/>
    <col min="7" max="7" width="8" style="1" customWidth="1"/>
    <col min="8" max="8" width="6.7109375" style="1" bestFit="1" customWidth="1"/>
    <col min="9" max="9" width="8.28515625" style="1" bestFit="1" customWidth="1"/>
    <col min="10" max="10" width="6.7109375" style="1" bestFit="1" customWidth="1"/>
    <col min="11" max="11" width="7.85546875" style="1" bestFit="1" customWidth="1"/>
    <col min="12" max="12" width="8.28515625" style="1" customWidth="1"/>
    <col min="13" max="13" width="9.85546875" style="1" customWidth="1"/>
    <col min="14" max="14" width="9.7109375" style="1" bestFit="1" customWidth="1"/>
    <col min="15" max="15" width="8.7109375" style="1" bestFit="1" customWidth="1"/>
    <col min="16" max="16" width="10.140625" style="1" customWidth="1"/>
    <col min="17" max="16384" width="9.140625" style="1"/>
  </cols>
  <sheetData>
    <row r="1" spans="1:16" ht="12.7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2.75">
      <c r="A2" s="158" t="s">
        <v>239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2.75">
      <c r="A3" s="158" t="s">
        <v>436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12.75">
      <c r="A4" s="138"/>
      <c r="B4" s="2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6" ht="12.75">
      <c r="A5" s="137" t="s">
        <v>90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2.75">
      <c r="A6" s="32" t="s">
        <v>89</v>
      </c>
      <c r="B6" s="29"/>
      <c r="C6" s="33"/>
      <c r="D6" s="3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2.75">
      <c r="A7" s="137" t="s">
        <v>39</v>
      </c>
      <c r="B7" s="29"/>
      <c r="C7" s="33"/>
      <c r="D7" s="34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2.75">
      <c r="A8" s="35"/>
      <c r="B8" s="36"/>
      <c r="C8" s="33"/>
      <c r="D8" s="34"/>
      <c r="E8" s="31"/>
      <c r="F8" s="28"/>
      <c r="G8" s="31"/>
      <c r="H8" s="31"/>
      <c r="I8" s="31"/>
      <c r="J8" s="31"/>
      <c r="K8" s="31"/>
      <c r="L8" s="28"/>
      <c r="M8" s="31"/>
      <c r="N8" s="37"/>
      <c r="O8" s="37"/>
      <c r="P8" s="31"/>
    </row>
    <row r="9" spans="1:16" ht="12.75">
      <c r="A9" s="32" t="s">
        <v>4</v>
      </c>
      <c r="B9" s="36"/>
      <c r="C9" s="33"/>
      <c r="D9" s="34"/>
      <c r="E9" s="31"/>
      <c r="F9" s="28"/>
      <c r="G9" s="31"/>
      <c r="H9" s="31"/>
      <c r="I9" s="31"/>
      <c r="J9" s="31"/>
      <c r="K9" s="31"/>
      <c r="L9" s="161"/>
      <c r="M9" s="161"/>
      <c r="N9" s="161"/>
      <c r="O9" s="160">
        <f>P126</f>
        <v>0</v>
      </c>
      <c r="P9" s="160"/>
    </row>
    <row r="10" spans="1:16" ht="12.75">
      <c r="A10" s="32" t="s">
        <v>36</v>
      </c>
      <c r="B10" s="36"/>
      <c r="C10" s="33"/>
      <c r="D10" s="34"/>
      <c r="E10" s="31"/>
      <c r="F10" s="28"/>
      <c r="G10" s="31"/>
      <c r="H10" s="31"/>
      <c r="I10" s="31"/>
      <c r="J10" s="31"/>
      <c r="K10" s="31"/>
      <c r="L10" s="28"/>
      <c r="M10" s="31"/>
      <c r="N10" s="37"/>
      <c r="O10" s="37"/>
      <c r="P10" s="31"/>
    </row>
    <row r="11" spans="1:16">
      <c r="A11" s="6"/>
      <c r="B11" s="7"/>
      <c r="C11" s="4"/>
      <c r="D11" s="5"/>
      <c r="E11" s="3"/>
      <c r="F11" s="8"/>
      <c r="G11" s="3"/>
      <c r="H11" s="3"/>
      <c r="I11" s="3"/>
      <c r="J11" s="3"/>
      <c r="K11" s="3"/>
      <c r="L11" s="8"/>
      <c r="M11" s="3"/>
      <c r="N11" s="9"/>
      <c r="O11" s="3"/>
      <c r="P11" s="3"/>
    </row>
    <row r="12" spans="1:16">
      <c r="A12" s="10"/>
      <c r="B12" s="7"/>
      <c r="C12" s="2"/>
      <c r="D12" s="3"/>
      <c r="E12" s="3"/>
      <c r="F12" s="3"/>
      <c r="G12" s="3"/>
      <c r="H12" s="3"/>
      <c r="I12" s="3"/>
      <c r="J12" s="3"/>
      <c r="K12" s="3"/>
      <c r="L12" s="8"/>
      <c r="M12" s="3"/>
      <c r="N12" s="3"/>
      <c r="O12" s="3"/>
      <c r="P12" s="3"/>
    </row>
    <row r="13" spans="1:16" ht="12" customHeight="1">
      <c r="A13" s="163" t="s">
        <v>5</v>
      </c>
      <c r="B13" s="164" t="s">
        <v>6</v>
      </c>
      <c r="C13" s="167" t="s">
        <v>7</v>
      </c>
      <c r="D13" s="165" t="s">
        <v>0</v>
      </c>
      <c r="E13" s="165" t="s">
        <v>1</v>
      </c>
      <c r="F13" s="159" t="s">
        <v>8</v>
      </c>
      <c r="G13" s="159"/>
      <c r="H13" s="159"/>
      <c r="I13" s="159"/>
      <c r="J13" s="159"/>
      <c r="K13" s="159"/>
      <c r="L13" s="159" t="s">
        <v>9</v>
      </c>
      <c r="M13" s="159"/>
      <c r="N13" s="159"/>
      <c r="O13" s="159"/>
      <c r="P13" s="159"/>
    </row>
    <row r="14" spans="1:16" ht="77.25" customHeight="1">
      <c r="A14" s="163"/>
      <c r="B14" s="164"/>
      <c r="C14" s="167"/>
      <c r="D14" s="165"/>
      <c r="E14" s="166"/>
      <c r="F14" s="139" t="s">
        <v>10</v>
      </c>
      <c r="G14" s="139" t="s">
        <v>21</v>
      </c>
      <c r="H14" s="139" t="s">
        <v>17</v>
      </c>
      <c r="I14" s="139" t="s">
        <v>18</v>
      </c>
      <c r="J14" s="139" t="s">
        <v>19</v>
      </c>
      <c r="K14" s="139" t="s">
        <v>22</v>
      </c>
      <c r="L14" s="139" t="s">
        <v>11</v>
      </c>
      <c r="M14" s="139" t="s">
        <v>17</v>
      </c>
      <c r="N14" s="139" t="s">
        <v>18</v>
      </c>
      <c r="O14" s="139" t="s">
        <v>19</v>
      </c>
      <c r="P14" s="139" t="s">
        <v>23</v>
      </c>
    </row>
    <row r="15" spans="1:16">
      <c r="A15" s="17" t="s">
        <v>3</v>
      </c>
      <c r="B15" s="17"/>
      <c r="C15" s="143" t="s">
        <v>240</v>
      </c>
      <c r="D15" s="7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42">
        <f>A15+1</f>
        <v>2</v>
      </c>
      <c r="B16" s="17"/>
      <c r="C16" s="71" t="s">
        <v>241</v>
      </c>
      <c r="D16" s="76" t="s">
        <v>37</v>
      </c>
      <c r="E16" s="16">
        <v>47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24">
      <c r="A17" s="42">
        <f t="shared" ref="A17:A80" si="0">A16+1</f>
        <v>3</v>
      </c>
      <c r="B17" s="17"/>
      <c r="C17" s="71" t="s">
        <v>242</v>
      </c>
      <c r="D17" s="76" t="s">
        <v>37</v>
      </c>
      <c r="E17" s="16">
        <v>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24">
      <c r="A18" s="42">
        <f t="shared" si="0"/>
        <v>4</v>
      </c>
      <c r="B18" s="17"/>
      <c r="C18" s="71" t="s">
        <v>243</v>
      </c>
      <c r="D18" s="76" t="s">
        <v>37</v>
      </c>
      <c r="E18" s="16">
        <v>10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42">
        <f t="shared" si="0"/>
        <v>5</v>
      </c>
      <c r="B19" s="17"/>
      <c r="C19" s="71" t="s">
        <v>244</v>
      </c>
      <c r="D19" s="76" t="s">
        <v>37</v>
      </c>
      <c r="E19" s="16">
        <v>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24">
      <c r="A20" s="42">
        <f t="shared" si="0"/>
        <v>6</v>
      </c>
      <c r="B20" s="17"/>
      <c r="C20" s="71" t="s">
        <v>245</v>
      </c>
      <c r="D20" s="76" t="s">
        <v>37</v>
      </c>
      <c r="E20" s="16">
        <v>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>
      <c r="A21" s="42">
        <f t="shared" si="0"/>
        <v>7</v>
      </c>
      <c r="B21" s="17"/>
      <c r="C21" s="71" t="s">
        <v>246</v>
      </c>
      <c r="D21" s="76" t="s">
        <v>37</v>
      </c>
      <c r="E21" s="16">
        <v>22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>
      <c r="A22" s="42">
        <f t="shared" si="0"/>
        <v>8</v>
      </c>
      <c r="B22" s="17"/>
      <c r="C22" s="71" t="s">
        <v>247</v>
      </c>
      <c r="D22" s="76" t="s">
        <v>37</v>
      </c>
      <c r="E22" s="16">
        <v>30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>
      <c r="A23" s="42">
        <f t="shared" si="0"/>
        <v>9</v>
      </c>
      <c r="B23" s="17"/>
      <c r="C23" s="71" t="s">
        <v>248</v>
      </c>
      <c r="D23" s="76" t="s">
        <v>27</v>
      </c>
      <c r="E23" s="16">
        <v>75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>
      <c r="A24" s="42">
        <f t="shared" si="0"/>
        <v>10</v>
      </c>
      <c r="B24" s="17"/>
      <c r="C24" s="71" t="s">
        <v>249</v>
      </c>
      <c r="D24" s="76" t="s">
        <v>27</v>
      </c>
      <c r="E24" s="16">
        <v>103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A25" s="42">
        <f t="shared" si="0"/>
        <v>11</v>
      </c>
      <c r="B25" s="17"/>
      <c r="C25" s="71" t="s">
        <v>250</v>
      </c>
      <c r="D25" s="76" t="s">
        <v>37</v>
      </c>
      <c r="E25" s="16">
        <v>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>
      <c r="A26" s="42">
        <f t="shared" si="0"/>
        <v>12</v>
      </c>
      <c r="B26" s="17"/>
      <c r="C26" s="71" t="s">
        <v>251</v>
      </c>
      <c r="D26" s="76" t="s">
        <v>27</v>
      </c>
      <c r="E26" s="16">
        <v>817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>
      <c r="A27" s="42">
        <f t="shared" si="0"/>
        <v>13</v>
      </c>
      <c r="B27" s="17"/>
      <c r="C27" s="71" t="s">
        <v>252</v>
      </c>
      <c r="D27" s="76" t="s">
        <v>27</v>
      </c>
      <c r="E27" s="16">
        <v>228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>
      <c r="A28" s="42">
        <f t="shared" si="0"/>
        <v>14</v>
      </c>
      <c r="B28" s="17"/>
      <c r="C28" s="71" t="s">
        <v>253</v>
      </c>
      <c r="D28" s="76" t="s">
        <v>27</v>
      </c>
      <c r="E28" s="16">
        <v>110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>
      <c r="A29" s="42">
        <f t="shared" si="0"/>
        <v>15</v>
      </c>
      <c r="B29" s="17"/>
      <c r="C29" s="71" t="s">
        <v>254</v>
      </c>
      <c r="D29" s="76" t="s">
        <v>27</v>
      </c>
      <c r="E29" s="16">
        <v>50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>
      <c r="A30" s="42">
        <f t="shared" si="0"/>
        <v>16</v>
      </c>
      <c r="B30" s="17"/>
      <c r="C30" s="71" t="s">
        <v>255</v>
      </c>
      <c r="D30" s="76" t="s">
        <v>37</v>
      </c>
      <c r="E30" s="16">
        <v>6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>
      <c r="A31" s="42">
        <f t="shared" si="0"/>
        <v>17</v>
      </c>
      <c r="B31" s="17"/>
      <c r="C31" s="71" t="s">
        <v>256</v>
      </c>
      <c r="D31" s="76" t="s">
        <v>37</v>
      </c>
      <c r="E31" s="16">
        <v>27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>
      <c r="A32" s="42">
        <f t="shared" si="0"/>
        <v>18</v>
      </c>
      <c r="B32" s="17"/>
      <c r="C32" s="71" t="s">
        <v>257</v>
      </c>
      <c r="D32" s="76" t="s">
        <v>37</v>
      </c>
      <c r="E32" s="16">
        <v>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>
      <c r="A33" s="42">
        <f t="shared" si="0"/>
        <v>19</v>
      </c>
      <c r="B33" s="17"/>
      <c r="C33" s="71" t="s">
        <v>258</v>
      </c>
      <c r="D33" s="76" t="s">
        <v>259</v>
      </c>
      <c r="E33" s="16">
        <v>16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>
      <c r="A34" s="42">
        <f t="shared" si="0"/>
        <v>20</v>
      </c>
      <c r="B34" s="17"/>
      <c r="C34" s="71" t="s">
        <v>260</v>
      </c>
      <c r="D34" s="76" t="s">
        <v>37</v>
      </c>
      <c r="E34" s="16">
        <v>51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>
      <c r="A35" s="42">
        <f t="shared" si="0"/>
        <v>21</v>
      </c>
      <c r="B35" s="17"/>
      <c r="C35" s="71" t="s">
        <v>261</v>
      </c>
      <c r="D35" s="76" t="s">
        <v>37</v>
      </c>
      <c r="E35" s="16">
        <v>27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>
      <c r="A36" s="42">
        <f t="shared" si="0"/>
        <v>22</v>
      </c>
      <c r="B36" s="17"/>
      <c r="C36" s="71" t="s">
        <v>262</v>
      </c>
      <c r="D36" s="76" t="s">
        <v>27</v>
      </c>
      <c r="E36" s="16">
        <v>35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>
      <c r="A37" s="42">
        <f t="shared" si="0"/>
        <v>23</v>
      </c>
      <c r="B37" s="17"/>
      <c r="C37" s="71" t="s">
        <v>263</v>
      </c>
      <c r="D37" s="76" t="s">
        <v>37</v>
      </c>
      <c r="E37" s="16">
        <v>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>
      <c r="A38" s="42">
        <f t="shared" si="0"/>
        <v>24</v>
      </c>
      <c r="B38" s="17"/>
      <c r="C38" s="71" t="s">
        <v>264</v>
      </c>
      <c r="D38" s="76" t="s">
        <v>37</v>
      </c>
      <c r="E38" s="16">
        <v>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>
      <c r="A39" s="42">
        <f t="shared" si="0"/>
        <v>25</v>
      </c>
      <c r="B39" s="17"/>
      <c r="C39" s="71" t="s">
        <v>265</v>
      </c>
      <c r="D39" s="76" t="s">
        <v>37</v>
      </c>
      <c r="E39" s="16">
        <v>1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>
      <c r="A40" s="42">
        <f t="shared" si="0"/>
        <v>26</v>
      </c>
      <c r="B40" s="17"/>
      <c r="C40" s="71" t="s">
        <v>266</v>
      </c>
      <c r="D40" s="76" t="s">
        <v>37</v>
      </c>
      <c r="E40" s="16">
        <v>22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>
      <c r="A41" s="42">
        <f t="shared" si="0"/>
        <v>27</v>
      </c>
      <c r="B41" s="17"/>
      <c r="C41" s="71" t="s">
        <v>267</v>
      </c>
      <c r="D41" s="76" t="s">
        <v>27</v>
      </c>
      <c r="E41" s="16">
        <v>76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>
      <c r="A42" s="42">
        <f t="shared" si="0"/>
        <v>28</v>
      </c>
      <c r="B42" s="17"/>
      <c r="C42" s="143" t="s">
        <v>268</v>
      </c>
      <c r="D42" s="7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>
      <c r="A43" s="42">
        <f t="shared" si="0"/>
        <v>29</v>
      </c>
      <c r="B43" s="17"/>
      <c r="C43" s="71" t="s">
        <v>269</v>
      </c>
      <c r="D43" s="76" t="s">
        <v>27</v>
      </c>
      <c r="E43" s="16">
        <v>25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>
      <c r="A44" s="42">
        <f t="shared" si="0"/>
        <v>30</v>
      </c>
      <c r="B44" s="17"/>
      <c r="C44" s="71" t="s">
        <v>270</v>
      </c>
      <c r="D44" s="76" t="s">
        <v>37</v>
      </c>
      <c r="E44" s="16">
        <v>10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>
      <c r="A45" s="42">
        <f t="shared" si="0"/>
        <v>31</v>
      </c>
      <c r="B45" s="17"/>
      <c r="C45" s="71" t="s">
        <v>271</v>
      </c>
      <c r="D45" s="76" t="s">
        <v>27</v>
      </c>
      <c r="E45" s="16">
        <v>25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ht="24">
      <c r="A46" s="42">
        <f t="shared" si="0"/>
        <v>32</v>
      </c>
      <c r="B46" s="17"/>
      <c r="C46" s="71" t="s">
        <v>272</v>
      </c>
      <c r="D46" s="76" t="s">
        <v>27</v>
      </c>
      <c r="E46" s="16">
        <v>21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ht="24">
      <c r="A47" s="42">
        <f t="shared" si="0"/>
        <v>33</v>
      </c>
      <c r="B47" s="17"/>
      <c r="C47" s="71" t="s">
        <v>273</v>
      </c>
      <c r="D47" s="76" t="s">
        <v>37</v>
      </c>
      <c r="E47" s="16">
        <v>15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>
      <c r="A48" s="42">
        <f t="shared" si="0"/>
        <v>34</v>
      </c>
      <c r="B48" s="17"/>
      <c r="C48" s="71" t="s">
        <v>274</v>
      </c>
      <c r="D48" s="76" t="s">
        <v>37</v>
      </c>
      <c r="E48" s="16">
        <v>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>
      <c r="A49" s="42">
        <f t="shared" si="0"/>
        <v>35</v>
      </c>
      <c r="B49" s="17"/>
      <c r="C49" s="71" t="s">
        <v>275</v>
      </c>
      <c r="D49" s="76" t="s">
        <v>37</v>
      </c>
      <c r="E49" s="16">
        <v>3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>
      <c r="A50" s="42">
        <f t="shared" si="0"/>
        <v>36</v>
      </c>
      <c r="B50" s="17"/>
      <c r="C50" s="71"/>
      <c r="D50" s="7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42">
        <f t="shared" si="0"/>
        <v>37</v>
      </c>
      <c r="B51" s="17"/>
      <c r="C51" s="143" t="s">
        <v>276</v>
      </c>
      <c r="D51" s="7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24">
      <c r="A52" s="42">
        <f t="shared" si="0"/>
        <v>38</v>
      </c>
      <c r="B52" s="17"/>
      <c r="C52" s="71" t="s">
        <v>277</v>
      </c>
      <c r="D52" s="76" t="s">
        <v>37</v>
      </c>
      <c r="E52" s="16">
        <v>7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24">
      <c r="A53" s="42">
        <f t="shared" si="0"/>
        <v>39</v>
      </c>
      <c r="B53" s="17"/>
      <c r="C53" s="71" t="s">
        <v>278</v>
      </c>
      <c r="D53" s="76" t="s">
        <v>37</v>
      </c>
      <c r="E53" s="16">
        <v>14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24">
      <c r="A54" s="42">
        <f t="shared" si="0"/>
        <v>40</v>
      </c>
      <c r="B54" s="17"/>
      <c r="C54" s="71" t="s">
        <v>279</v>
      </c>
      <c r="D54" s="76" t="s">
        <v>37</v>
      </c>
      <c r="E54" s="16">
        <v>9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24">
      <c r="A55" s="42">
        <f t="shared" si="0"/>
        <v>41</v>
      </c>
      <c r="B55" s="17"/>
      <c r="C55" s="71" t="s">
        <v>280</v>
      </c>
      <c r="D55" s="76" t="s">
        <v>37</v>
      </c>
      <c r="E55" s="16">
        <v>2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24">
      <c r="A56" s="42">
        <f t="shared" si="0"/>
        <v>42</v>
      </c>
      <c r="B56" s="17"/>
      <c r="C56" s="71" t="s">
        <v>281</v>
      </c>
      <c r="D56" s="76" t="s">
        <v>37</v>
      </c>
      <c r="E56" s="16">
        <v>5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24">
      <c r="A57" s="42">
        <f t="shared" si="0"/>
        <v>43</v>
      </c>
      <c r="B57" s="17"/>
      <c r="C57" s="71" t="s">
        <v>282</v>
      </c>
      <c r="D57" s="76" t="s">
        <v>37</v>
      </c>
      <c r="E57" s="16">
        <v>1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24">
      <c r="A58" s="42">
        <f t="shared" si="0"/>
        <v>44</v>
      </c>
      <c r="B58" s="17"/>
      <c r="C58" s="71" t="s">
        <v>283</v>
      </c>
      <c r="D58" s="76" t="s">
        <v>37</v>
      </c>
      <c r="E58" s="16">
        <v>5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24">
      <c r="A59" s="42">
        <f t="shared" si="0"/>
        <v>45</v>
      </c>
      <c r="B59" s="17"/>
      <c r="C59" s="71" t="s">
        <v>284</v>
      </c>
      <c r="D59" s="76" t="s">
        <v>37</v>
      </c>
      <c r="E59" s="16">
        <v>2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24">
      <c r="A60" s="42">
        <f t="shared" si="0"/>
        <v>46</v>
      </c>
      <c r="B60" s="17"/>
      <c r="C60" s="71" t="s">
        <v>285</v>
      </c>
      <c r="D60" s="76" t="s">
        <v>37</v>
      </c>
      <c r="E60" s="16">
        <v>2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24">
      <c r="A61" s="42">
        <f t="shared" si="0"/>
        <v>47</v>
      </c>
      <c r="B61" s="17"/>
      <c r="C61" s="71" t="s">
        <v>286</v>
      </c>
      <c r="D61" s="76" t="s">
        <v>37</v>
      </c>
      <c r="E61" s="16">
        <v>4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>
      <c r="A62" s="42">
        <f t="shared" si="0"/>
        <v>48</v>
      </c>
      <c r="B62" s="17"/>
      <c r="C62" s="71" t="s">
        <v>287</v>
      </c>
      <c r="D62" s="76" t="s">
        <v>37</v>
      </c>
      <c r="E62" s="16">
        <v>4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>
      <c r="A63" s="42">
        <f t="shared" si="0"/>
        <v>49</v>
      </c>
      <c r="B63" s="17"/>
      <c r="C63" s="71" t="s">
        <v>288</v>
      </c>
      <c r="D63" s="76" t="s">
        <v>37</v>
      </c>
      <c r="E63" s="16">
        <v>4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>
      <c r="A64" s="42">
        <f t="shared" si="0"/>
        <v>50</v>
      </c>
      <c r="B64" s="17"/>
      <c r="C64" s="71" t="s">
        <v>289</v>
      </c>
      <c r="D64" s="76" t="s">
        <v>37</v>
      </c>
      <c r="E64" s="16">
        <v>4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ht="24">
      <c r="A65" s="42">
        <f t="shared" si="0"/>
        <v>51</v>
      </c>
      <c r="B65" s="17"/>
      <c r="C65" s="71" t="s">
        <v>290</v>
      </c>
      <c r="D65" s="76" t="s">
        <v>37</v>
      </c>
      <c r="E65" s="16">
        <v>4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>
      <c r="A66" s="42">
        <f t="shared" si="0"/>
        <v>52</v>
      </c>
      <c r="B66" s="17"/>
      <c r="C66" s="71" t="s">
        <v>291</v>
      </c>
      <c r="D66" s="76" t="s">
        <v>37</v>
      </c>
      <c r="E66" s="16">
        <v>8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>
      <c r="A67" s="42">
        <f t="shared" si="0"/>
        <v>53</v>
      </c>
      <c r="B67" s="17"/>
      <c r="C67" s="71" t="s">
        <v>292</v>
      </c>
      <c r="D67" s="76" t="s">
        <v>37</v>
      </c>
      <c r="E67" s="16">
        <v>2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>
      <c r="A68" s="42">
        <f t="shared" si="0"/>
        <v>54</v>
      </c>
      <c r="B68" s="17"/>
      <c r="C68" s="71" t="s">
        <v>293</v>
      </c>
      <c r="D68" s="76" t="s">
        <v>37</v>
      </c>
      <c r="E68" s="16">
        <v>3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>
      <c r="A69" s="42">
        <f t="shared" si="0"/>
        <v>55</v>
      </c>
      <c r="B69" s="17"/>
      <c r="C69" s="71" t="s">
        <v>294</v>
      </c>
      <c r="D69" s="76" t="s">
        <v>37</v>
      </c>
      <c r="E69" s="16">
        <v>3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>
      <c r="A70" s="42">
        <f t="shared" si="0"/>
        <v>56</v>
      </c>
      <c r="B70" s="17"/>
      <c r="C70" s="71" t="s">
        <v>295</v>
      </c>
      <c r="D70" s="76" t="s">
        <v>37</v>
      </c>
      <c r="E70" s="16">
        <v>3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>
      <c r="A71" s="42">
        <f t="shared" si="0"/>
        <v>57</v>
      </c>
      <c r="B71" s="17"/>
      <c r="C71" s="71" t="s">
        <v>296</v>
      </c>
      <c r="D71" s="76" t="s">
        <v>37</v>
      </c>
      <c r="E71" s="16">
        <v>2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>
      <c r="A72" s="42">
        <f t="shared" si="0"/>
        <v>58</v>
      </c>
      <c r="B72" s="17"/>
      <c r="C72" s="71" t="s">
        <v>297</v>
      </c>
      <c r="D72" s="76" t="s">
        <v>37</v>
      </c>
      <c r="E72" s="16">
        <v>4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ht="24">
      <c r="A73" s="42">
        <f t="shared" si="0"/>
        <v>59</v>
      </c>
      <c r="B73" s="17"/>
      <c r="C73" s="71" t="s">
        <v>298</v>
      </c>
      <c r="D73" s="76" t="s">
        <v>27</v>
      </c>
      <c r="E73" s="16">
        <v>75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>
      <c r="A74" s="42">
        <f t="shared" si="0"/>
        <v>60</v>
      </c>
      <c r="B74" s="17"/>
      <c r="C74" s="71" t="s">
        <v>299</v>
      </c>
      <c r="D74" s="76" t="s">
        <v>37</v>
      </c>
      <c r="E74" s="16">
        <v>35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>
      <c r="A75" s="42">
        <f t="shared" si="0"/>
        <v>61</v>
      </c>
      <c r="B75" s="17"/>
      <c r="C75" s="71" t="s">
        <v>300</v>
      </c>
      <c r="D75" s="76" t="s">
        <v>37</v>
      </c>
      <c r="E75" s="16">
        <v>150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24">
      <c r="A76" s="42">
        <f t="shared" si="0"/>
        <v>62</v>
      </c>
      <c r="B76" s="17"/>
      <c r="C76" s="71" t="s">
        <v>301</v>
      </c>
      <c r="D76" s="76" t="s">
        <v>27</v>
      </c>
      <c r="E76" s="16">
        <v>103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>
      <c r="A77" s="42">
        <f t="shared" si="0"/>
        <v>63</v>
      </c>
      <c r="B77" s="17"/>
      <c r="C77" s="71" t="s">
        <v>302</v>
      </c>
      <c r="D77" s="76" t="s">
        <v>27</v>
      </c>
      <c r="E77" s="16">
        <v>545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>
      <c r="A78" s="42">
        <f t="shared" si="0"/>
        <v>64</v>
      </c>
      <c r="B78" s="17"/>
      <c r="C78" s="71" t="s">
        <v>303</v>
      </c>
      <c r="D78" s="76" t="s">
        <v>27</v>
      </c>
      <c r="E78" s="16">
        <v>165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>
      <c r="A79" s="42">
        <f t="shared" si="0"/>
        <v>65</v>
      </c>
      <c r="B79" s="17"/>
      <c r="C79" s="71" t="s">
        <v>304</v>
      </c>
      <c r="D79" s="76" t="s">
        <v>27</v>
      </c>
      <c r="E79" s="16">
        <v>45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>
      <c r="A80" s="42">
        <f t="shared" si="0"/>
        <v>66</v>
      </c>
      <c r="B80" s="17"/>
      <c r="C80" s="71" t="s">
        <v>305</v>
      </c>
      <c r="D80" s="76" t="s">
        <v>27</v>
      </c>
      <c r="E80" s="16">
        <v>20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>
      <c r="A81" s="42">
        <f t="shared" ref="A81:A122" si="1">A80+1</f>
        <v>67</v>
      </c>
      <c r="B81" s="17"/>
      <c r="C81" s="71" t="s">
        <v>306</v>
      </c>
      <c r="D81" s="76" t="s">
        <v>27</v>
      </c>
      <c r="E81" s="16">
        <v>25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>
      <c r="A82" s="42">
        <f t="shared" si="1"/>
        <v>68</v>
      </c>
      <c r="B82" s="17"/>
      <c r="C82" s="71" t="s">
        <v>307</v>
      </c>
      <c r="D82" s="76" t="s">
        <v>27</v>
      </c>
      <c r="E82" s="16">
        <v>95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>
      <c r="A83" s="42">
        <f t="shared" si="1"/>
        <v>69</v>
      </c>
      <c r="B83" s="17"/>
      <c r="C83" s="71" t="s">
        <v>308</v>
      </c>
      <c r="D83" s="76" t="s">
        <v>27</v>
      </c>
      <c r="E83" s="16">
        <v>55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>
      <c r="A84" s="42">
        <f t="shared" si="1"/>
        <v>70</v>
      </c>
      <c r="B84" s="17"/>
      <c r="C84" s="71" t="s">
        <v>309</v>
      </c>
      <c r="D84" s="76" t="s">
        <v>27</v>
      </c>
      <c r="E84" s="16">
        <v>45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>
      <c r="A85" s="42">
        <f t="shared" si="1"/>
        <v>71</v>
      </c>
      <c r="B85" s="17"/>
      <c r="C85" s="71" t="s">
        <v>310</v>
      </c>
      <c r="D85" s="76" t="s">
        <v>27</v>
      </c>
      <c r="E85" s="16">
        <v>50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>
      <c r="A86" s="42">
        <f t="shared" si="1"/>
        <v>72</v>
      </c>
      <c r="B86" s="17"/>
      <c r="C86" s="71" t="s">
        <v>311</v>
      </c>
      <c r="D86" s="76" t="s">
        <v>37</v>
      </c>
      <c r="E86" s="16">
        <v>1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>
      <c r="A87" s="42">
        <f t="shared" si="1"/>
        <v>73</v>
      </c>
      <c r="B87" s="17"/>
      <c r="C87" s="71" t="s">
        <v>312</v>
      </c>
      <c r="D87" s="76" t="s">
        <v>37</v>
      </c>
      <c r="E87" s="16">
        <v>20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>
      <c r="A88" s="42">
        <f t="shared" si="1"/>
        <v>74</v>
      </c>
      <c r="B88" s="17"/>
      <c r="C88" s="71" t="s">
        <v>313</v>
      </c>
      <c r="D88" s="76" t="s">
        <v>37</v>
      </c>
      <c r="E88" s="16">
        <v>6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>
      <c r="A89" s="42">
        <f t="shared" si="1"/>
        <v>75</v>
      </c>
      <c r="B89" s="17"/>
      <c r="C89" s="71" t="s">
        <v>314</v>
      </c>
      <c r="D89" s="76" t="s">
        <v>37</v>
      </c>
      <c r="E89" s="16">
        <v>1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>
      <c r="A90" s="42">
        <f t="shared" si="1"/>
        <v>76</v>
      </c>
      <c r="B90" s="17"/>
      <c r="C90" s="71" t="s">
        <v>315</v>
      </c>
      <c r="D90" s="76" t="s">
        <v>37</v>
      </c>
      <c r="E90" s="16">
        <v>38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>
      <c r="A91" s="42">
        <f t="shared" si="1"/>
        <v>77</v>
      </c>
      <c r="B91" s="17"/>
      <c r="C91" s="71" t="s">
        <v>316</v>
      </c>
      <c r="D91" s="76" t="s">
        <v>37</v>
      </c>
      <c r="E91" s="16">
        <v>10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>
      <c r="A92" s="42">
        <f t="shared" si="1"/>
        <v>78</v>
      </c>
      <c r="B92" s="17"/>
      <c r="C92" s="71" t="s">
        <v>317</v>
      </c>
      <c r="D92" s="76" t="s">
        <v>37</v>
      </c>
      <c r="E92" s="16">
        <v>4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>
      <c r="A93" s="42">
        <f t="shared" si="1"/>
        <v>79</v>
      </c>
      <c r="B93" s="17"/>
      <c r="C93" s="71" t="s">
        <v>318</v>
      </c>
      <c r="D93" s="76" t="s">
        <v>37</v>
      </c>
      <c r="E93" s="16">
        <v>2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6">
      <c r="A94" s="42">
        <f t="shared" si="1"/>
        <v>80</v>
      </c>
      <c r="B94" s="17"/>
      <c r="C94" s="71" t="s">
        <v>319</v>
      </c>
      <c r="D94" s="76" t="s">
        <v>37</v>
      </c>
      <c r="E94" s="16">
        <v>27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>
      <c r="A95" s="42">
        <f t="shared" si="1"/>
        <v>81</v>
      </c>
      <c r="B95" s="17"/>
      <c r="C95" s="71" t="s">
        <v>38</v>
      </c>
      <c r="D95" s="76" t="s">
        <v>24</v>
      </c>
      <c r="E95" s="16">
        <v>1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>
      <c r="A96" s="42">
        <f t="shared" si="1"/>
        <v>82</v>
      </c>
      <c r="B96" s="17"/>
      <c r="C96" s="71" t="s">
        <v>320</v>
      </c>
      <c r="D96" s="76" t="s">
        <v>37</v>
      </c>
      <c r="E96" s="16">
        <v>1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>
      <c r="A97" s="42">
        <f t="shared" si="1"/>
        <v>83</v>
      </c>
      <c r="B97" s="17"/>
      <c r="C97" s="71" t="s">
        <v>321</v>
      </c>
      <c r="D97" s="76" t="s">
        <v>37</v>
      </c>
      <c r="E97" s="16">
        <v>1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>
      <c r="A98" s="42">
        <f t="shared" si="1"/>
        <v>84</v>
      </c>
      <c r="B98" s="17"/>
      <c r="C98" s="71" t="s">
        <v>322</v>
      </c>
      <c r="D98" s="76" t="s">
        <v>37</v>
      </c>
      <c r="E98" s="16">
        <v>1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>
      <c r="A99" s="42">
        <f t="shared" si="1"/>
        <v>85</v>
      </c>
      <c r="B99" s="17"/>
      <c r="C99" s="71" t="s">
        <v>323</v>
      </c>
      <c r="D99" s="76" t="s">
        <v>37</v>
      </c>
      <c r="E99" s="16">
        <v>1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>
      <c r="A100" s="42">
        <f t="shared" si="1"/>
        <v>86</v>
      </c>
      <c r="B100" s="17"/>
      <c r="C100" s="71" t="s">
        <v>324</v>
      </c>
      <c r="D100" s="76" t="s">
        <v>37</v>
      </c>
      <c r="E100" s="16">
        <v>13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>
      <c r="A101" s="42">
        <f t="shared" si="1"/>
        <v>87</v>
      </c>
      <c r="B101" s="17"/>
      <c r="C101" s="71" t="s">
        <v>325</v>
      </c>
      <c r="D101" s="76" t="s">
        <v>37</v>
      </c>
      <c r="E101" s="16">
        <v>2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>
      <c r="A102" s="42">
        <f t="shared" si="1"/>
        <v>88</v>
      </c>
      <c r="B102" s="17"/>
      <c r="C102" s="71" t="s">
        <v>326</v>
      </c>
      <c r="D102" s="76" t="s">
        <v>37</v>
      </c>
      <c r="E102" s="16">
        <v>1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>
      <c r="A103" s="42">
        <f t="shared" si="1"/>
        <v>89</v>
      </c>
      <c r="B103" s="17"/>
      <c r="C103" s="71" t="s">
        <v>327</v>
      </c>
      <c r="D103" s="76" t="s">
        <v>37</v>
      </c>
      <c r="E103" s="16">
        <v>13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>
      <c r="A104" s="42">
        <f t="shared" si="1"/>
        <v>90</v>
      </c>
      <c r="B104" s="17"/>
      <c r="C104" s="71" t="s">
        <v>328</v>
      </c>
      <c r="D104" s="76" t="s">
        <v>37</v>
      </c>
      <c r="E104" s="16">
        <v>2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>
      <c r="A105" s="42">
        <f t="shared" si="1"/>
        <v>91</v>
      </c>
      <c r="B105" s="17"/>
      <c r="C105" s="71" t="s">
        <v>329</v>
      </c>
      <c r="D105" s="76" t="s">
        <v>37</v>
      </c>
      <c r="E105" s="16">
        <v>4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>
      <c r="A106" s="42">
        <f t="shared" si="1"/>
        <v>92</v>
      </c>
      <c r="B106" s="17"/>
      <c r="C106" s="71" t="s">
        <v>330</v>
      </c>
      <c r="D106" s="76" t="s">
        <v>37</v>
      </c>
      <c r="E106" s="16">
        <v>1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>
      <c r="A107" s="42">
        <f t="shared" si="1"/>
        <v>93</v>
      </c>
      <c r="B107" s="17"/>
      <c r="C107" s="71" t="s">
        <v>331</v>
      </c>
      <c r="D107" s="76" t="s">
        <v>37</v>
      </c>
      <c r="E107" s="16">
        <v>11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>
      <c r="A108" s="42">
        <f t="shared" si="1"/>
        <v>94</v>
      </c>
      <c r="B108" s="17"/>
      <c r="C108" s="71" t="s">
        <v>332</v>
      </c>
      <c r="D108" s="76" t="s">
        <v>37</v>
      </c>
      <c r="E108" s="16">
        <v>10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>
      <c r="A109" s="42">
        <f t="shared" si="1"/>
        <v>95</v>
      </c>
      <c r="B109" s="17"/>
      <c r="C109" s="71" t="s">
        <v>333</v>
      </c>
      <c r="D109" s="76" t="s">
        <v>37</v>
      </c>
      <c r="E109" s="16">
        <v>4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>
      <c r="A110" s="42">
        <f t="shared" si="1"/>
        <v>96</v>
      </c>
      <c r="B110" s="17"/>
      <c r="C110" s="143" t="s">
        <v>268</v>
      </c>
      <c r="D110" s="7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 ht="24">
      <c r="A111" s="42">
        <f t="shared" si="1"/>
        <v>97</v>
      </c>
      <c r="B111" s="17"/>
      <c r="C111" s="71" t="s">
        <v>334</v>
      </c>
      <c r="D111" s="76" t="s">
        <v>37</v>
      </c>
      <c r="E111" s="16">
        <v>15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 ht="24">
      <c r="A112" s="42">
        <f t="shared" si="1"/>
        <v>98</v>
      </c>
      <c r="B112" s="17"/>
      <c r="C112" s="71" t="s">
        <v>335</v>
      </c>
      <c r="D112" s="76" t="s">
        <v>37</v>
      </c>
      <c r="E112" s="16">
        <v>5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 ht="24">
      <c r="A113" s="42">
        <f t="shared" si="1"/>
        <v>99</v>
      </c>
      <c r="B113" s="17"/>
      <c r="C113" s="71" t="s">
        <v>336</v>
      </c>
      <c r="D113" s="76" t="s">
        <v>37</v>
      </c>
      <c r="E113" s="16">
        <v>3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6" ht="24">
      <c r="A114" s="42">
        <f t="shared" si="1"/>
        <v>100</v>
      </c>
      <c r="B114" s="17"/>
      <c r="C114" s="71" t="s">
        <v>337</v>
      </c>
      <c r="D114" s="76" t="s">
        <v>37</v>
      </c>
      <c r="E114" s="16">
        <v>5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6">
      <c r="A115" s="42">
        <f t="shared" si="1"/>
        <v>101</v>
      </c>
      <c r="B115" s="17"/>
      <c r="C115" s="71" t="s">
        <v>338</v>
      </c>
      <c r="D115" s="76" t="s">
        <v>27</v>
      </c>
      <c r="E115" s="16">
        <v>25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>
      <c r="A116" s="42">
        <f t="shared" si="1"/>
        <v>102</v>
      </c>
      <c r="B116" s="17"/>
      <c r="C116" s="71" t="s">
        <v>339</v>
      </c>
      <c r="D116" s="76" t="s">
        <v>37</v>
      </c>
      <c r="E116" s="16">
        <v>50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6" ht="24">
      <c r="A117" s="42">
        <f t="shared" si="1"/>
        <v>103</v>
      </c>
      <c r="B117" s="17"/>
      <c r="C117" s="71" t="s">
        <v>340</v>
      </c>
      <c r="D117" s="76" t="s">
        <v>37</v>
      </c>
      <c r="E117" s="16">
        <v>30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6" ht="24">
      <c r="A118" s="42">
        <f t="shared" si="1"/>
        <v>104</v>
      </c>
      <c r="B118" s="17"/>
      <c r="C118" s="71" t="s">
        <v>341</v>
      </c>
      <c r="D118" s="76" t="s">
        <v>24</v>
      </c>
      <c r="E118" s="16">
        <v>3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6">
      <c r="A119" s="42">
        <f t="shared" si="1"/>
        <v>105</v>
      </c>
      <c r="B119" s="17"/>
      <c r="C119" s="71" t="s">
        <v>342</v>
      </c>
      <c r="D119" s="76" t="s">
        <v>37</v>
      </c>
      <c r="E119" s="16">
        <v>5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6">
      <c r="A120" s="42">
        <f t="shared" si="1"/>
        <v>106</v>
      </c>
      <c r="B120" s="17"/>
      <c r="C120" s="71" t="s">
        <v>343</v>
      </c>
      <c r="D120" s="76" t="s">
        <v>27</v>
      </c>
      <c r="E120" s="16">
        <v>40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6">
      <c r="A121" s="42">
        <f t="shared" si="1"/>
        <v>107</v>
      </c>
      <c r="B121" s="17"/>
      <c r="C121" s="143" t="s">
        <v>344</v>
      </c>
      <c r="D121" s="7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>
      <c r="A122" s="42">
        <f t="shared" si="1"/>
        <v>108</v>
      </c>
      <c r="B122" s="17"/>
      <c r="C122" s="71" t="s">
        <v>345</v>
      </c>
      <c r="D122" s="76" t="s">
        <v>24</v>
      </c>
      <c r="E122" s="16">
        <v>1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>
      <c r="A123" s="42"/>
      <c r="B123" s="17"/>
      <c r="C123" s="71"/>
      <c r="D123" s="7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16">
      <c r="A124" s="162" t="s">
        <v>2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9">
        <f>SUM(L15:L123)</f>
        <v>0</v>
      </c>
      <c r="M124" s="19">
        <f>SUM(M15:M123)</f>
        <v>0</v>
      </c>
      <c r="N124" s="19">
        <f>SUM(N15:N123)</f>
        <v>0</v>
      </c>
      <c r="O124" s="19">
        <f>SUM(O15:O123)</f>
        <v>0</v>
      </c>
      <c r="P124" s="19">
        <f>SUM(P15:P123)</f>
        <v>0</v>
      </c>
    </row>
    <row r="125" spans="1:16">
      <c r="A125" s="162" t="s">
        <v>85</v>
      </c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20"/>
      <c r="M125" s="20"/>
      <c r="N125" s="20"/>
      <c r="O125" s="20"/>
      <c r="P125" s="19">
        <f>0.1*N124</f>
        <v>0</v>
      </c>
    </row>
    <row r="126" spans="1:16">
      <c r="A126" s="162" t="s">
        <v>2</v>
      </c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9">
        <f>SUM(L124:L125)</f>
        <v>0</v>
      </c>
      <c r="M126" s="19">
        <f>SUM(M124:M125)</f>
        <v>0</v>
      </c>
      <c r="N126" s="19">
        <f>SUM(N124:N125)</f>
        <v>0</v>
      </c>
      <c r="O126" s="19">
        <f>SUM(O124:O125)</f>
        <v>0</v>
      </c>
      <c r="P126" s="19">
        <f>SUM(P124:P125)</f>
        <v>0</v>
      </c>
    </row>
    <row r="127" spans="1:16" ht="17.100000000000001" customHeight="1">
      <c r="A127" s="11" t="s">
        <v>15</v>
      </c>
    </row>
    <row r="128" spans="1:16">
      <c r="B128" s="12" t="s">
        <v>16</v>
      </c>
    </row>
    <row r="130" spans="1:8">
      <c r="A130" s="13"/>
      <c r="B130" s="38"/>
      <c r="C130" s="39"/>
      <c r="H130" s="13"/>
    </row>
    <row r="131" spans="1:8">
      <c r="A131" s="40"/>
      <c r="B131" s="41"/>
      <c r="C131" s="14"/>
      <c r="F131" s="14"/>
    </row>
  </sheetData>
  <mergeCells count="14">
    <mergeCell ref="L13:P13"/>
    <mergeCell ref="A124:K124"/>
    <mergeCell ref="A125:K125"/>
    <mergeCell ref="A126:K126"/>
    <mergeCell ref="A2:P2"/>
    <mergeCell ref="A3:P3"/>
    <mergeCell ref="L9:N9"/>
    <mergeCell ref="O9:P9"/>
    <mergeCell ref="A13:A14"/>
    <mergeCell ref="B13:B14"/>
    <mergeCell ref="C13:C14"/>
    <mergeCell ref="D13:D14"/>
    <mergeCell ref="E13:E14"/>
    <mergeCell ref="F13:K13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97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showZeros="0" tabSelected="1" topLeftCell="A106" zoomScale="92" workbookViewId="0">
      <selection activeCell="H115" sqref="H115"/>
    </sheetView>
  </sheetViews>
  <sheetFormatPr defaultRowHeight="12"/>
  <cols>
    <col min="1" max="1" width="4.140625" style="1" customWidth="1"/>
    <col min="2" max="2" width="9" style="12" customWidth="1"/>
    <col min="3" max="3" width="30.140625" style="1" customWidth="1"/>
    <col min="4" max="4" width="6.140625" style="1" bestFit="1" customWidth="1"/>
    <col min="5" max="5" width="9.7109375" style="1" bestFit="1" customWidth="1"/>
    <col min="6" max="6" width="6" style="1" customWidth="1"/>
    <col min="7" max="7" width="8" style="1" customWidth="1"/>
    <col min="8" max="8" width="6.7109375" style="1" bestFit="1" customWidth="1"/>
    <col min="9" max="9" width="8.28515625" style="1" bestFit="1" customWidth="1"/>
    <col min="10" max="10" width="6.7109375" style="1" bestFit="1" customWidth="1"/>
    <col min="11" max="11" width="7.85546875" style="1" bestFit="1" customWidth="1"/>
    <col min="12" max="12" width="8.28515625" style="1" customWidth="1"/>
    <col min="13" max="13" width="9.85546875" style="1" customWidth="1"/>
    <col min="14" max="14" width="9.7109375" style="1" bestFit="1" customWidth="1"/>
    <col min="15" max="15" width="8.7109375" style="1" bestFit="1" customWidth="1"/>
    <col min="16" max="16" width="10.140625" style="1" customWidth="1"/>
    <col min="17" max="16384" width="9.140625" style="1"/>
  </cols>
  <sheetData>
    <row r="1" spans="1:16" ht="12.7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2.75">
      <c r="A2" s="158" t="s">
        <v>432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2.75">
      <c r="A3" s="158" t="s">
        <v>437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12.75">
      <c r="A4" s="142"/>
      <c r="B4" s="27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ht="12.75">
      <c r="A5" s="140" t="s">
        <v>90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2.75">
      <c r="A6" s="32" t="s">
        <v>89</v>
      </c>
      <c r="B6" s="29"/>
      <c r="C6" s="33"/>
      <c r="D6" s="34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12.75">
      <c r="A7" s="140" t="s">
        <v>39</v>
      </c>
      <c r="B7" s="29"/>
      <c r="C7" s="33"/>
      <c r="D7" s="34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2.75">
      <c r="A8" s="35"/>
      <c r="B8" s="36"/>
      <c r="C8" s="33"/>
      <c r="D8" s="34"/>
      <c r="E8" s="31"/>
      <c r="F8" s="28"/>
      <c r="G8" s="31"/>
      <c r="H8" s="31"/>
      <c r="I8" s="31"/>
      <c r="J8" s="31"/>
      <c r="K8" s="31"/>
      <c r="L8" s="28"/>
      <c r="M8" s="31"/>
      <c r="N8" s="37"/>
      <c r="O8" s="37"/>
      <c r="P8" s="31"/>
    </row>
    <row r="9" spans="1:16" ht="12.75">
      <c r="A9" s="32" t="s">
        <v>4</v>
      </c>
      <c r="B9" s="36"/>
      <c r="C9" s="33"/>
      <c r="D9" s="34"/>
      <c r="E9" s="31"/>
      <c r="F9" s="28"/>
      <c r="G9" s="31"/>
      <c r="H9" s="31"/>
      <c r="I9" s="31"/>
      <c r="J9" s="31"/>
      <c r="K9" s="31"/>
      <c r="L9" s="161"/>
      <c r="M9" s="161"/>
      <c r="N9" s="161"/>
      <c r="O9" s="160">
        <f>P113</f>
        <v>0</v>
      </c>
      <c r="P9" s="160"/>
    </row>
    <row r="10" spans="1:16" ht="12.75">
      <c r="A10" s="32" t="s">
        <v>36</v>
      </c>
      <c r="B10" s="36"/>
      <c r="C10" s="33"/>
      <c r="D10" s="34"/>
      <c r="E10" s="31"/>
      <c r="F10" s="28"/>
      <c r="G10" s="31"/>
      <c r="H10" s="31"/>
      <c r="I10" s="31"/>
      <c r="J10" s="31"/>
      <c r="K10" s="31"/>
      <c r="L10" s="28"/>
      <c r="M10" s="31"/>
      <c r="N10" s="37"/>
      <c r="O10" s="37"/>
      <c r="P10" s="31"/>
    </row>
    <row r="11" spans="1:16">
      <c r="A11" s="6"/>
      <c r="B11" s="7"/>
      <c r="C11" s="4"/>
      <c r="D11" s="5"/>
      <c r="E11" s="3"/>
      <c r="F11" s="8"/>
      <c r="G11" s="3"/>
      <c r="H11" s="3"/>
      <c r="I11" s="3"/>
      <c r="J11" s="3"/>
      <c r="K11" s="3"/>
      <c r="L11" s="8"/>
      <c r="M11" s="3"/>
      <c r="N11" s="9"/>
      <c r="O11" s="3"/>
      <c r="P11" s="3"/>
    </row>
    <row r="12" spans="1:16">
      <c r="A12" s="10"/>
      <c r="B12" s="7"/>
      <c r="C12" s="2"/>
      <c r="D12" s="3"/>
      <c r="E12" s="3"/>
      <c r="F12" s="3"/>
      <c r="G12" s="3"/>
      <c r="H12" s="3"/>
      <c r="I12" s="3"/>
      <c r="J12" s="3"/>
      <c r="K12" s="3"/>
      <c r="L12" s="8"/>
      <c r="M12" s="3"/>
      <c r="N12" s="3"/>
      <c r="O12" s="3"/>
      <c r="P12" s="3"/>
    </row>
    <row r="13" spans="1:16" ht="12" customHeight="1">
      <c r="A13" s="163" t="s">
        <v>5</v>
      </c>
      <c r="B13" s="164" t="s">
        <v>6</v>
      </c>
      <c r="C13" s="167" t="s">
        <v>7</v>
      </c>
      <c r="D13" s="165" t="s">
        <v>0</v>
      </c>
      <c r="E13" s="165" t="s">
        <v>1</v>
      </c>
      <c r="F13" s="159" t="s">
        <v>8</v>
      </c>
      <c r="G13" s="159"/>
      <c r="H13" s="159"/>
      <c r="I13" s="159"/>
      <c r="J13" s="159"/>
      <c r="K13" s="159"/>
      <c r="L13" s="159" t="s">
        <v>9</v>
      </c>
      <c r="M13" s="159"/>
      <c r="N13" s="159"/>
      <c r="O13" s="159"/>
      <c r="P13" s="159"/>
    </row>
    <row r="14" spans="1:16" ht="77.25" customHeight="1">
      <c r="A14" s="163"/>
      <c r="B14" s="164"/>
      <c r="C14" s="167"/>
      <c r="D14" s="165"/>
      <c r="E14" s="166"/>
      <c r="F14" s="141" t="s">
        <v>10</v>
      </c>
      <c r="G14" s="141" t="s">
        <v>21</v>
      </c>
      <c r="H14" s="141" t="s">
        <v>17</v>
      </c>
      <c r="I14" s="141" t="s">
        <v>18</v>
      </c>
      <c r="J14" s="141" t="s">
        <v>19</v>
      </c>
      <c r="K14" s="141" t="s">
        <v>22</v>
      </c>
      <c r="L14" s="141" t="s">
        <v>11</v>
      </c>
      <c r="M14" s="141" t="s">
        <v>17</v>
      </c>
      <c r="N14" s="141" t="s">
        <v>18</v>
      </c>
      <c r="O14" s="141" t="s">
        <v>19</v>
      </c>
      <c r="P14" s="141" t="s">
        <v>23</v>
      </c>
    </row>
    <row r="15" spans="1:16">
      <c r="A15" s="17" t="s">
        <v>3</v>
      </c>
      <c r="B15" s="144"/>
      <c r="C15" s="156" t="s">
        <v>346</v>
      </c>
      <c r="D15" s="145"/>
      <c r="E15" s="14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>
      <c r="A16" s="42">
        <f>A15+1</f>
        <v>2</v>
      </c>
      <c r="B16" s="147"/>
      <c r="C16" s="92" t="s">
        <v>347</v>
      </c>
      <c r="D16" s="148" t="s">
        <v>348</v>
      </c>
      <c r="E16" s="149">
        <v>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3.5">
      <c r="A17" s="42">
        <f t="shared" ref="A17:A80" si="0">A16+1</f>
        <v>3</v>
      </c>
      <c r="B17" s="147"/>
      <c r="C17" s="92" t="s">
        <v>349</v>
      </c>
      <c r="D17" s="148" t="s">
        <v>373</v>
      </c>
      <c r="E17" s="149">
        <v>150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24">
      <c r="A18" s="42">
        <f t="shared" si="0"/>
        <v>4</v>
      </c>
      <c r="B18" s="147"/>
      <c r="C18" s="92" t="s">
        <v>350</v>
      </c>
      <c r="D18" s="148" t="s">
        <v>20</v>
      </c>
      <c r="E18" s="149">
        <v>10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>
      <c r="A19" s="42">
        <f t="shared" si="0"/>
        <v>5</v>
      </c>
      <c r="B19" s="147"/>
      <c r="C19" s="92" t="s">
        <v>351</v>
      </c>
      <c r="D19" s="148" t="s">
        <v>27</v>
      </c>
      <c r="E19" s="149">
        <v>90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>
      <c r="A20" s="42">
        <f t="shared" si="0"/>
        <v>6</v>
      </c>
      <c r="B20" s="147"/>
      <c r="C20" s="92" t="s">
        <v>352</v>
      </c>
      <c r="D20" s="148" t="s">
        <v>214</v>
      </c>
      <c r="E20" s="149">
        <v>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>
      <c r="A21" s="42">
        <f t="shared" si="0"/>
        <v>7</v>
      </c>
      <c r="B21" s="147"/>
      <c r="C21" s="92" t="s">
        <v>353</v>
      </c>
      <c r="D21" s="148" t="s">
        <v>27</v>
      </c>
      <c r="E21" s="149">
        <v>90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3.5">
      <c r="A22" s="42">
        <f t="shared" si="0"/>
        <v>8</v>
      </c>
      <c r="B22" s="147"/>
      <c r="C22" s="88" t="s">
        <v>354</v>
      </c>
      <c r="D22" s="148" t="s">
        <v>373</v>
      </c>
      <c r="E22" s="149">
        <v>140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24">
      <c r="A23" s="42">
        <f t="shared" si="0"/>
        <v>9</v>
      </c>
      <c r="B23" s="147"/>
      <c r="C23" s="88" t="s">
        <v>355</v>
      </c>
      <c r="D23" s="148" t="s">
        <v>24</v>
      </c>
      <c r="E23" s="149">
        <v>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24">
      <c r="A24" s="42">
        <f t="shared" si="0"/>
        <v>10</v>
      </c>
      <c r="B24" s="147"/>
      <c r="C24" s="92" t="s">
        <v>356</v>
      </c>
      <c r="D24" s="148" t="s">
        <v>24</v>
      </c>
      <c r="E24" s="149">
        <v>1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>
      <c r="A25" s="42">
        <f t="shared" si="0"/>
        <v>11</v>
      </c>
      <c r="B25" s="147"/>
      <c r="C25" s="92" t="s">
        <v>357</v>
      </c>
      <c r="D25" s="148" t="s">
        <v>24</v>
      </c>
      <c r="E25" s="149">
        <v>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3.5">
      <c r="A26" s="42">
        <f t="shared" si="0"/>
        <v>12</v>
      </c>
      <c r="B26" s="147"/>
      <c r="C26" s="92" t="s">
        <v>358</v>
      </c>
      <c r="D26" s="148" t="s">
        <v>373</v>
      </c>
      <c r="E26" s="149">
        <v>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24">
      <c r="A27" s="42">
        <f t="shared" si="0"/>
        <v>13</v>
      </c>
      <c r="B27" s="147"/>
      <c r="C27" s="92" t="s">
        <v>359</v>
      </c>
      <c r="D27" s="148" t="s">
        <v>27</v>
      </c>
      <c r="E27" s="150">
        <v>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24">
      <c r="A28" s="42">
        <f t="shared" si="0"/>
        <v>14</v>
      </c>
      <c r="B28" s="147"/>
      <c r="C28" s="92" t="s">
        <v>360</v>
      </c>
      <c r="D28" s="148" t="s">
        <v>27</v>
      </c>
      <c r="E28" s="150">
        <v>18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24">
      <c r="A29" s="42">
        <f t="shared" si="0"/>
        <v>15</v>
      </c>
      <c r="B29" s="147"/>
      <c r="C29" s="92" t="s">
        <v>361</v>
      </c>
      <c r="D29" s="148" t="s">
        <v>27</v>
      </c>
      <c r="E29" s="150">
        <v>20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24">
      <c r="A30" s="42">
        <f t="shared" si="0"/>
        <v>16</v>
      </c>
      <c r="B30" s="147"/>
      <c r="C30" s="92" t="s">
        <v>362</v>
      </c>
      <c r="D30" s="148" t="s">
        <v>27</v>
      </c>
      <c r="E30" s="150">
        <v>46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>
      <c r="A31" s="42">
        <f t="shared" si="0"/>
        <v>17</v>
      </c>
      <c r="B31" s="147"/>
      <c r="C31" s="92" t="s">
        <v>363</v>
      </c>
      <c r="D31" s="148" t="s">
        <v>24</v>
      </c>
      <c r="E31" s="149">
        <v>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>
      <c r="A32" s="42">
        <f t="shared" si="0"/>
        <v>18</v>
      </c>
      <c r="B32" s="147"/>
      <c r="C32" s="92" t="s">
        <v>364</v>
      </c>
      <c r="D32" s="148" t="s">
        <v>27</v>
      </c>
      <c r="E32" s="149">
        <v>50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24">
      <c r="A33" s="42">
        <f t="shared" si="0"/>
        <v>19</v>
      </c>
      <c r="B33" s="147"/>
      <c r="C33" s="92" t="s">
        <v>365</v>
      </c>
      <c r="D33" s="148" t="s">
        <v>24</v>
      </c>
      <c r="E33" s="149">
        <v>1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24">
      <c r="A34" s="42">
        <f t="shared" si="0"/>
        <v>20</v>
      </c>
      <c r="B34" s="147"/>
      <c r="C34" s="92" t="s">
        <v>366</v>
      </c>
      <c r="D34" s="148" t="s">
        <v>24</v>
      </c>
      <c r="E34" s="149"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24">
      <c r="A35" s="42">
        <f t="shared" si="0"/>
        <v>21</v>
      </c>
      <c r="B35" s="147"/>
      <c r="C35" s="92" t="s">
        <v>367</v>
      </c>
      <c r="D35" s="148" t="s">
        <v>24</v>
      </c>
      <c r="E35" s="149">
        <v>1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24">
      <c r="A36" s="42">
        <f t="shared" si="0"/>
        <v>22</v>
      </c>
      <c r="B36" s="147"/>
      <c r="C36" s="92" t="s">
        <v>368</v>
      </c>
      <c r="D36" s="148" t="s">
        <v>348</v>
      </c>
      <c r="E36" s="149">
        <v>11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24">
      <c r="A37" s="42">
        <f t="shared" si="0"/>
        <v>23</v>
      </c>
      <c r="B37" s="147"/>
      <c r="C37" s="92" t="s">
        <v>369</v>
      </c>
      <c r="D37" s="148" t="s">
        <v>14</v>
      </c>
      <c r="E37" s="149">
        <v>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24">
      <c r="A38" s="42">
        <f t="shared" si="0"/>
        <v>24</v>
      </c>
      <c r="B38" s="147"/>
      <c r="C38" s="92" t="s">
        <v>370</v>
      </c>
      <c r="D38" s="148" t="s">
        <v>371</v>
      </c>
      <c r="E38" s="149">
        <v>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24">
      <c r="A39" s="42">
        <f t="shared" si="0"/>
        <v>25</v>
      </c>
      <c r="B39" s="147"/>
      <c r="C39" s="92" t="s">
        <v>372</v>
      </c>
      <c r="D39" s="148" t="s">
        <v>371</v>
      </c>
      <c r="E39" s="149">
        <v>1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>
      <c r="A40" s="42">
        <f t="shared" si="0"/>
        <v>26</v>
      </c>
      <c r="B40" s="147"/>
      <c r="C40" s="92" t="s">
        <v>38</v>
      </c>
      <c r="D40" s="148" t="s">
        <v>24</v>
      </c>
      <c r="E40" s="149">
        <v>1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>
      <c r="A41" s="42">
        <f t="shared" si="0"/>
        <v>27</v>
      </c>
      <c r="B41" s="17"/>
      <c r="C41" s="71" t="s">
        <v>345</v>
      </c>
      <c r="D41" s="76" t="s">
        <v>24</v>
      </c>
      <c r="E41" s="16">
        <v>1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>
      <c r="A42" s="42">
        <f t="shared" si="0"/>
        <v>28</v>
      </c>
      <c r="B42" s="144"/>
      <c r="C42" s="157" t="s">
        <v>374</v>
      </c>
      <c r="D42" s="145"/>
      <c r="E42" s="151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>
      <c r="A43" s="42">
        <f t="shared" si="0"/>
        <v>29</v>
      </c>
      <c r="B43" s="147"/>
      <c r="C43" s="92" t="s">
        <v>375</v>
      </c>
      <c r="D43" s="148" t="s">
        <v>24</v>
      </c>
      <c r="E43" s="151">
        <v>1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13.5">
      <c r="A44" s="42">
        <f t="shared" si="0"/>
        <v>30</v>
      </c>
      <c r="B44" s="147"/>
      <c r="C44" s="92" t="s">
        <v>376</v>
      </c>
      <c r="D44" s="148" t="s">
        <v>373</v>
      </c>
      <c r="E44" s="149">
        <v>50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ht="24">
      <c r="A45" s="42">
        <f t="shared" si="0"/>
        <v>31</v>
      </c>
      <c r="B45" s="147"/>
      <c r="C45" s="92" t="s">
        <v>377</v>
      </c>
      <c r="D45" s="148" t="s">
        <v>27</v>
      </c>
      <c r="E45" s="149">
        <v>90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ht="24">
      <c r="A46" s="42">
        <f t="shared" si="0"/>
        <v>32</v>
      </c>
      <c r="B46" s="147"/>
      <c r="C46" s="92" t="s">
        <v>378</v>
      </c>
      <c r="D46" s="148" t="s">
        <v>24</v>
      </c>
      <c r="E46" s="149">
        <v>1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>
      <c r="A47" s="42">
        <f t="shared" si="0"/>
        <v>33</v>
      </c>
      <c r="B47" s="147"/>
      <c r="C47" s="92" t="s">
        <v>379</v>
      </c>
      <c r="D47" s="148" t="s">
        <v>14</v>
      </c>
      <c r="E47" s="149">
        <v>1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>
      <c r="A48" s="42">
        <f t="shared" si="0"/>
        <v>34</v>
      </c>
      <c r="B48" s="147"/>
      <c r="C48" s="92" t="s">
        <v>353</v>
      </c>
      <c r="D48" s="148" t="s">
        <v>27</v>
      </c>
      <c r="E48" s="149">
        <v>90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24">
      <c r="A49" s="42">
        <f t="shared" si="0"/>
        <v>35</v>
      </c>
      <c r="B49" s="147"/>
      <c r="C49" s="92" t="s">
        <v>380</v>
      </c>
      <c r="D49" s="148" t="s">
        <v>27</v>
      </c>
      <c r="E49" s="149">
        <v>6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24">
      <c r="A50" s="42">
        <f t="shared" si="0"/>
        <v>36</v>
      </c>
      <c r="B50" s="147"/>
      <c r="C50" s="88" t="s">
        <v>381</v>
      </c>
      <c r="D50" s="148" t="s">
        <v>373</v>
      </c>
      <c r="E50" s="149">
        <v>80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42">
        <f t="shared" si="0"/>
        <v>37</v>
      </c>
      <c r="B51" s="147"/>
      <c r="C51" s="88" t="s">
        <v>382</v>
      </c>
      <c r="D51" s="148" t="s">
        <v>24</v>
      </c>
      <c r="E51" s="149">
        <v>1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>
      <c r="A52" s="42">
        <f t="shared" si="0"/>
        <v>38</v>
      </c>
      <c r="B52" s="147"/>
      <c r="C52" s="88" t="s">
        <v>383</v>
      </c>
      <c r="D52" s="148" t="s">
        <v>24</v>
      </c>
      <c r="E52" s="149">
        <v>2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>
      <c r="A53" s="42">
        <f t="shared" si="0"/>
        <v>39</v>
      </c>
      <c r="B53" s="147"/>
      <c r="C53" s="92" t="s">
        <v>384</v>
      </c>
      <c r="D53" s="148" t="s">
        <v>27</v>
      </c>
      <c r="E53" s="149">
        <v>10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>
      <c r="A54" s="42">
        <f t="shared" si="0"/>
        <v>40</v>
      </c>
      <c r="B54" s="147"/>
      <c r="C54" s="92" t="s">
        <v>385</v>
      </c>
      <c r="D54" s="148" t="s">
        <v>27</v>
      </c>
      <c r="E54" s="149">
        <v>8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>
      <c r="A55" s="42">
        <f t="shared" si="0"/>
        <v>41</v>
      </c>
      <c r="B55" s="147"/>
      <c r="C55" s="92" t="s">
        <v>386</v>
      </c>
      <c r="D55" s="148" t="s">
        <v>27</v>
      </c>
      <c r="E55" s="149">
        <v>20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>
      <c r="A56" s="42">
        <f t="shared" si="0"/>
        <v>42</v>
      </c>
      <c r="B56" s="147"/>
      <c r="C56" s="92" t="s">
        <v>387</v>
      </c>
      <c r="D56" s="148" t="s">
        <v>388</v>
      </c>
      <c r="E56" s="149">
        <v>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>
      <c r="A57" s="42">
        <f t="shared" si="0"/>
        <v>43</v>
      </c>
      <c r="B57" s="147"/>
      <c r="C57" s="92" t="s">
        <v>389</v>
      </c>
      <c r="D57" s="148" t="s">
        <v>388</v>
      </c>
      <c r="E57" s="149">
        <v>1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24">
      <c r="A58" s="42">
        <f t="shared" si="0"/>
        <v>44</v>
      </c>
      <c r="B58" s="147"/>
      <c r="C58" s="92" t="s">
        <v>390</v>
      </c>
      <c r="D58" s="148" t="s">
        <v>388</v>
      </c>
      <c r="E58" s="149">
        <v>1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>
      <c r="A59" s="42">
        <f t="shared" si="0"/>
        <v>45</v>
      </c>
      <c r="B59" s="147"/>
      <c r="C59" s="92" t="s">
        <v>391</v>
      </c>
      <c r="D59" s="148" t="s">
        <v>388</v>
      </c>
      <c r="E59" s="149">
        <v>1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>
      <c r="A60" s="42">
        <f t="shared" si="0"/>
        <v>46</v>
      </c>
      <c r="B60" s="147"/>
      <c r="C60" s="92" t="s">
        <v>392</v>
      </c>
      <c r="D60" s="148" t="s">
        <v>388</v>
      </c>
      <c r="E60" s="149">
        <v>1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>
      <c r="A61" s="42">
        <f t="shared" si="0"/>
        <v>47</v>
      </c>
      <c r="B61" s="147"/>
      <c r="C61" s="92" t="s">
        <v>393</v>
      </c>
      <c r="D61" s="148" t="s">
        <v>388</v>
      </c>
      <c r="E61" s="149">
        <v>5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>
      <c r="A62" s="42">
        <f t="shared" si="0"/>
        <v>48</v>
      </c>
      <c r="B62" s="147"/>
      <c r="C62" s="92" t="s">
        <v>394</v>
      </c>
      <c r="D62" s="148" t="s">
        <v>24</v>
      </c>
      <c r="E62" s="149">
        <v>1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>
      <c r="A63" s="42">
        <f t="shared" si="0"/>
        <v>49</v>
      </c>
      <c r="B63" s="147"/>
      <c r="C63" s="92" t="s">
        <v>38</v>
      </c>
      <c r="D63" s="148" t="s">
        <v>24</v>
      </c>
      <c r="E63" s="149">
        <v>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>
      <c r="A64" s="42">
        <f t="shared" si="0"/>
        <v>50</v>
      </c>
      <c r="B64" s="147"/>
      <c r="C64" s="88" t="s">
        <v>395</v>
      </c>
      <c r="D64" s="148" t="s">
        <v>24</v>
      </c>
      <c r="E64" s="149">
        <v>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>
      <c r="A65" s="42">
        <f t="shared" si="0"/>
        <v>51</v>
      </c>
      <c r="B65" s="17"/>
      <c r="C65" s="71" t="s">
        <v>345</v>
      </c>
      <c r="D65" s="76" t="s">
        <v>24</v>
      </c>
      <c r="E65" s="16">
        <v>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>
      <c r="A66" s="42">
        <f t="shared" si="0"/>
        <v>52</v>
      </c>
      <c r="B66" s="147"/>
      <c r="C66" s="156" t="s">
        <v>396</v>
      </c>
      <c r="D66" s="148"/>
      <c r="E66" s="149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36">
      <c r="A67" s="42">
        <f t="shared" si="0"/>
        <v>53</v>
      </c>
      <c r="B67" s="147"/>
      <c r="C67" s="92" t="s">
        <v>397</v>
      </c>
      <c r="D67" s="148" t="s">
        <v>24</v>
      </c>
      <c r="E67" s="149">
        <v>6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36">
      <c r="A68" s="42">
        <f t="shared" si="0"/>
        <v>54</v>
      </c>
      <c r="B68" s="147"/>
      <c r="C68" s="92" t="s">
        <v>398</v>
      </c>
      <c r="D68" s="148" t="s">
        <v>24</v>
      </c>
      <c r="E68" s="149">
        <v>1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ht="36">
      <c r="A69" s="42">
        <f t="shared" si="0"/>
        <v>55</v>
      </c>
      <c r="B69" s="147"/>
      <c r="C69" s="92" t="s">
        <v>399</v>
      </c>
      <c r="D69" s="148" t="s">
        <v>24</v>
      </c>
      <c r="E69" s="149">
        <v>1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ht="36">
      <c r="A70" s="42">
        <f t="shared" si="0"/>
        <v>56</v>
      </c>
      <c r="B70" s="147"/>
      <c r="C70" s="92" t="s">
        <v>400</v>
      </c>
      <c r="D70" s="148"/>
      <c r="E70" s="149">
        <v>1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>
      <c r="A71" s="42">
        <f t="shared" si="0"/>
        <v>57</v>
      </c>
      <c r="B71" s="147"/>
      <c r="C71" s="92" t="s">
        <v>401</v>
      </c>
      <c r="D71" s="148" t="s">
        <v>348</v>
      </c>
      <c r="E71" s="149">
        <v>1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ht="24">
      <c r="A72" s="42">
        <f t="shared" si="0"/>
        <v>58</v>
      </c>
      <c r="B72" s="147"/>
      <c r="C72" s="92" t="s">
        <v>402</v>
      </c>
      <c r="D72" s="148" t="s">
        <v>27</v>
      </c>
      <c r="E72" s="155">
        <v>6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ht="24">
      <c r="A73" s="42">
        <f t="shared" si="0"/>
        <v>59</v>
      </c>
      <c r="B73" s="147"/>
      <c r="C73" s="92" t="s">
        <v>403</v>
      </c>
      <c r="D73" s="148" t="s">
        <v>27</v>
      </c>
      <c r="E73" s="155">
        <v>18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ht="24">
      <c r="A74" s="42">
        <f t="shared" si="0"/>
        <v>60</v>
      </c>
      <c r="B74" s="147"/>
      <c r="C74" s="92" t="s">
        <v>404</v>
      </c>
      <c r="D74" s="148" t="s">
        <v>27</v>
      </c>
      <c r="E74" s="155">
        <v>12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ht="24">
      <c r="A75" s="42">
        <f t="shared" si="0"/>
        <v>61</v>
      </c>
      <c r="B75" s="147"/>
      <c r="C75" s="92" t="s">
        <v>405</v>
      </c>
      <c r="D75" s="148" t="s">
        <v>27</v>
      </c>
      <c r="E75" s="155">
        <v>42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>
      <c r="A76" s="42">
        <f t="shared" si="0"/>
        <v>62</v>
      </c>
      <c r="B76" s="147"/>
      <c r="C76" s="92" t="s">
        <v>363</v>
      </c>
      <c r="D76" s="148" t="s">
        <v>24</v>
      </c>
      <c r="E76" s="149">
        <v>1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>
      <c r="A77" s="42">
        <f t="shared" si="0"/>
        <v>63</v>
      </c>
      <c r="B77" s="147"/>
      <c r="C77" s="92" t="s">
        <v>406</v>
      </c>
      <c r="D77" s="148" t="s">
        <v>214</v>
      </c>
      <c r="E77" s="149">
        <v>2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>
      <c r="A78" s="42">
        <f t="shared" si="0"/>
        <v>64</v>
      </c>
      <c r="B78" s="147"/>
      <c r="C78" s="92" t="s">
        <v>407</v>
      </c>
      <c r="D78" s="148" t="s">
        <v>24</v>
      </c>
      <c r="E78" s="149">
        <v>1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>
      <c r="A79" s="42">
        <f t="shared" si="0"/>
        <v>65</v>
      </c>
      <c r="B79" s="147"/>
      <c r="C79" s="92" t="s">
        <v>408</v>
      </c>
      <c r="D79" s="148" t="s">
        <v>24</v>
      </c>
      <c r="E79" s="149">
        <v>1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>
      <c r="A80" s="42">
        <f t="shared" si="0"/>
        <v>66</v>
      </c>
      <c r="B80" s="147"/>
      <c r="C80" s="92" t="s">
        <v>38</v>
      </c>
      <c r="D80" s="148"/>
      <c r="E80" s="149">
        <v>1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>
      <c r="A81" s="42">
        <f t="shared" ref="A81:A109" si="1">A80+1</f>
        <v>67</v>
      </c>
      <c r="B81" s="17"/>
      <c r="C81" s="71" t="s">
        <v>345</v>
      </c>
      <c r="D81" s="76" t="s">
        <v>24</v>
      </c>
      <c r="E81" s="16">
        <v>1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>
      <c r="A82" s="42">
        <f t="shared" si="1"/>
        <v>68</v>
      </c>
      <c r="B82" s="147"/>
      <c r="C82" s="156" t="s">
        <v>409</v>
      </c>
      <c r="D82" s="148"/>
      <c r="E82" s="149"/>
      <c r="F82" s="152"/>
      <c r="G82" s="152"/>
      <c r="H82" s="153"/>
      <c r="I82" s="153"/>
      <c r="J82" s="22"/>
      <c r="K82" s="16"/>
      <c r="L82" s="16"/>
      <c r="M82" s="16"/>
      <c r="N82" s="16"/>
      <c r="O82" s="16"/>
      <c r="P82" s="16"/>
    </row>
    <row r="83" spans="1:16">
      <c r="A83" s="42">
        <f t="shared" si="1"/>
        <v>69</v>
      </c>
      <c r="B83" s="147"/>
      <c r="C83" s="92" t="s">
        <v>410</v>
      </c>
      <c r="D83" s="148" t="s">
        <v>24</v>
      </c>
      <c r="E83" s="149">
        <v>1</v>
      </c>
      <c r="F83" s="16"/>
      <c r="G83" s="16"/>
      <c r="H83" s="153"/>
      <c r="I83" s="153"/>
      <c r="J83" s="22"/>
      <c r="K83" s="16"/>
      <c r="L83" s="16"/>
      <c r="M83" s="16"/>
      <c r="N83" s="16"/>
      <c r="O83" s="16"/>
      <c r="P83" s="16"/>
    </row>
    <row r="84" spans="1:16">
      <c r="A84" s="42">
        <f t="shared" si="1"/>
        <v>70</v>
      </c>
      <c r="B84" s="147"/>
      <c r="C84" s="92" t="s">
        <v>411</v>
      </c>
      <c r="D84" s="148" t="s">
        <v>27</v>
      </c>
      <c r="E84" s="149">
        <v>7</v>
      </c>
      <c r="F84" s="16"/>
      <c r="G84" s="16"/>
      <c r="H84" s="153"/>
      <c r="I84" s="153"/>
      <c r="J84" s="22"/>
      <c r="K84" s="16"/>
      <c r="L84" s="16"/>
      <c r="M84" s="16"/>
      <c r="N84" s="16"/>
      <c r="O84" s="16"/>
      <c r="P84" s="16"/>
    </row>
    <row r="85" spans="1:16">
      <c r="A85" s="42">
        <f t="shared" si="1"/>
        <v>71</v>
      </c>
      <c r="B85" s="147"/>
      <c r="C85" s="92" t="s">
        <v>412</v>
      </c>
      <c r="D85" s="148" t="s">
        <v>24</v>
      </c>
      <c r="E85" s="149">
        <v>1</v>
      </c>
      <c r="F85" s="16"/>
      <c r="G85" s="16"/>
      <c r="H85" s="153"/>
      <c r="I85" s="153"/>
      <c r="J85" s="22"/>
      <c r="K85" s="16"/>
      <c r="L85" s="16"/>
      <c r="M85" s="16"/>
      <c r="N85" s="16"/>
      <c r="O85" s="16"/>
      <c r="P85" s="16"/>
    </row>
    <row r="86" spans="1:16" ht="24">
      <c r="A86" s="42">
        <f t="shared" si="1"/>
        <v>72</v>
      </c>
      <c r="B86" s="147"/>
      <c r="C86" s="92" t="s">
        <v>413</v>
      </c>
      <c r="D86" s="148" t="s">
        <v>24</v>
      </c>
      <c r="E86" s="149">
        <v>1</v>
      </c>
      <c r="F86" s="16"/>
      <c r="G86" s="16"/>
      <c r="H86" s="153"/>
      <c r="I86" s="153"/>
      <c r="J86" s="22"/>
      <c r="K86" s="16"/>
      <c r="L86" s="16"/>
      <c r="M86" s="16"/>
      <c r="N86" s="16"/>
      <c r="O86" s="16"/>
      <c r="P86" s="16"/>
    </row>
    <row r="87" spans="1:16">
      <c r="A87" s="42">
        <f t="shared" si="1"/>
        <v>73</v>
      </c>
      <c r="B87" s="147"/>
      <c r="C87" s="92" t="s">
        <v>414</v>
      </c>
      <c r="D87" s="148" t="s">
        <v>214</v>
      </c>
      <c r="E87" s="149">
        <v>2</v>
      </c>
      <c r="F87" s="16"/>
      <c r="G87" s="16"/>
      <c r="H87" s="153"/>
      <c r="I87" s="153"/>
      <c r="J87" s="22"/>
      <c r="K87" s="16"/>
      <c r="L87" s="16"/>
      <c r="M87" s="16"/>
      <c r="N87" s="16"/>
      <c r="O87" s="16"/>
      <c r="P87" s="16"/>
    </row>
    <row r="88" spans="1:16">
      <c r="A88" s="42">
        <f t="shared" si="1"/>
        <v>74</v>
      </c>
      <c r="B88" s="147"/>
      <c r="C88" s="92" t="s">
        <v>415</v>
      </c>
      <c r="D88" s="148" t="s">
        <v>214</v>
      </c>
      <c r="E88" s="149">
        <v>1</v>
      </c>
      <c r="F88" s="16"/>
      <c r="G88" s="16"/>
      <c r="H88" s="153"/>
      <c r="I88" s="153"/>
      <c r="J88" s="22"/>
      <c r="K88" s="16"/>
      <c r="L88" s="16"/>
      <c r="M88" s="16"/>
      <c r="N88" s="16"/>
      <c r="O88" s="16"/>
      <c r="P88" s="16"/>
    </row>
    <row r="89" spans="1:16">
      <c r="A89" s="42">
        <f t="shared" si="1"/>
        <v>75</v>
      </c>
      <c r="B89" s="147"/>
      <c r="C89" s="92" t="s">
        <v>416</v>
      </c>
      <c r="D89" s="148" t="s">
        <v>214</v>
      </c>
      <c r="E89" s="149">
        <v>1</v>
      </c>
      <c r="F89" s="16"/>
      <c r="G89" s="16"/>
      <c r="H89" s="153"/>
      <c r="I89" s="153"/>
      <c r="J89" s="22"/>
      <c r="K89" s="16"/>
      <c r="L89" s="16"/>
      <c r="M89" s="16"/>
      <c r="N89" s="16"/>
      <c r="O89" s="16"/>
      <c r="P89" s="16"/>
    </row>
    <row r="90" spans="1:16">
      <c r="A90" s="42">
        <f t="shared" si="1"/>
        <v>76</v>
      </c>
      <c r="B90" s="147"/>
      <c r="C90" s="92" t="s">
        <v>417</v>
      </c>
      <c r="D90" s="148" t="s">
        <v>214</v>
      </c>
      <c r="E90" s="149">
        <v>1</v>
      </c>
      <c r="F90" s="16"/>
      <c r="G90" s="16"/>
      <c r="H90" s="153"/>
      <c r="I90" s="153"/>
      <c r="J90" s="22"/>
      <c r="K90" s="16"/>
      <c r="L90" s="16"/>
      <c r="M90" s="16"/>
      <c r="N90" s="16"/>
      <c r="O90" s="16"/>
      <c r="P90" s="16"/>
    </row>
    <row r="91" spans="1:16" ht="24">
      <c r="A91" s="42">
        <f t="shared" si="1"/>
        <v>77</v>
      </c>
      <c r="B91" s="147"/>
      <c r="C91" s="92" t="s">
        <v>418</v>
      </c>
      <c r="D91" s="148" t="s">
        <v>214</v>
      </c>
      <c r="E91" s="149">
        <v>1</v>
      </c>
      <c r="F91" s="16"/>
      <c r="G91" s="16"/>
      <c r="H91" s="153"/>
      <c r="I91" s="153"/>
      <c r="J91" s="22"/>
      <c r="K91" s="16"/>
      <c r="L91" s="16"/>
      <c r="M91" s="16"/>
      <c r="N91" s="16"/>
      <c r="O91" s="16"/>
      <c r="P91" s="16"/>
    </row>
    <row r="92" spans="1:16">
      <c r="A92" s="42">
        <f t="shared" si="1"/>
        <v>78</v>
      </c>
      <c r="B92" s="147"/>
      <c r="C92" s="92" t="s">
        <v>419</v>
      </c>
      <c r="D92" s="148" t="s">
        <v>24</v>
      </c>
      <c r="E92" s="149">
        <v>1</v>
      </c>
      <c r="F92" s="16"/>
      <c r="G92" s="16"/>
      <c r="H92" s="153"/>
      <c r="I92" s="153"/>
      <c r="J92" s="22"/>
      <c r="K92" s="16"/>
      <c r="L92" s="16"/>
      <c r="M92" s="16"/>
      <c r="N92" s="16"/>
      <c r="O92" s="16"/>
      <c r="P92" s="16"/>
    </row>
    <row r="93" spans="1:16" ht="24">
      <c r="A93" s="42">
        <f t="shared" si="1"/>
        <v>79</v>
      </c>
      <c r="B93" s="147"/>
      <c r="C93" s="92" t="s">
        <v>420</v>
      </c>
      <c r="D93" s="148" t="s">
        <v>24</v>
      </c>
      <c r="E93" s="149">
        <v>1</v>
      </c>
      <c r="F93" s="16"/>
      <c r="G93" s="16"/>
      <c r="H93" s="153"/>
      <c r="I93" s="153"/>
      <c r="J93" s="22"/>
      <c r="K93" s="16"/>
      <c r="L93" s="16"/>
      <c r="M93" s="16"/>
      <c r="N93" s="16"/>
      <c r="O93" s="16"/>
      <c r="P93" s="16"/>
    </row>
    <row r="94" spans="1:16">
      <c r="A94" s="42">
        <f t="shared" si="1"/>
        <v>80</v>
      </c>
      <c r="B94" s="147"/>
      <c r="C94" s="92" t="s">
        <v>421</v>
      </c>
      <c r="D94" s="148" t="s">
        <v>214</v>
      </c>
      <c r="E94" s="149">
        <v>2</v>
      </c>
      <c r="F94" s="16"/>
      <c r="G94" s="16"/>
      <c r="H94" s="153"/>
      <c r="I94" s="153"/>
      <c r="J94" s="22"/>
      <c r="K94" s="16"/>
      <c r="L94" s="16"/>
      <c r="M94" s="16"/>
      <c r="N94" s="16"/>
      <c r="O94" s="16"/>
      <c r="P94" s="16"/>
    </row>
    <row r="95" spans="1:16">
      <c r="A95" s="42">
        <f t="shared" si="1"/>
        <v>81</v>
      </c>
      <c r="B95" s="147"/>
      <c r="C95" s="92" t="s">
        <v>38</v>
      </c>
      <c r="D95" s="148" t="s">
        <v>24</v>
      </c>
      <c r="E95" s="149">
        <v>1</v>
      </c>
      <c r="F95" s="16"/>
      <c r="G95" s="16"/>
      <c r="H95" s="153"/>
      <c r="I95" s="153"/>
      <c r="J95" s="153"/>
      <c r="K95" s="16"/>
      <c r="L95" s="16"/>
      <c r="M95" s="16"/>
      <c r="N95" s="16"/>
      <c r="O95" s="16"/>
      <c r="P95" s="16"/>
    </row>
    <row r="96" spans="1:16">
      <c r="A96" s="42">
        <f t="shared" si="1"/>
        <v>82</v>
      </c>
      <c r="B96" s="147"/>
      <c r="C96" s="71" t="s">
        <v>345</v>
      </c>
      <c r="D96" s="76" t="s">
        <v>24</v>
      </c>
      <c r="E96" s="16">
        <v>1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>
      <c r="A97" s="42">
        <f t="shared" si="1"/>
        <v>83</v>
      </c>
      <c r="B97" s="147"/>
      <c r="C97" s="156" t="s">
        <v>422</v>
      </c>
      <c r="D97" s="148"/>
      <c r="E97" s="149"/>
      <c r="F97" s="152"/>
      <c r="G97" s="152"/>
      <c r="H97" s="153"/>
      <c r="I97" s="153"/>
      <c r="J97" s="22"/>
      <c r="K97" s="153"/>
      <c r="L97" s="152"/>
      <c r="M97" s="153"/>
      <c r="N97" s="154"/>
      <c r="O97" s="154"/>
      <c r="P97" s="154"/>
    </row>
    <row r="98" spans="1:16" ht="24">
      <c r="A98" s="42">
        <f t="shared" si="1"/>
        <v>84</v>
      </c>
      <c r="B98" s="147"/>
      <c r="C98" s="92" t="s">
        <v>423</v>
      </c>
      <c r="D98" s="148" t="s">
        <v>24</v>
      </c>
      <c r="E98" s="149">
        <v>1</v>
      </c>
      <c r="F98" s="16"/>
      <c r="G98" s="16"/>
      <c r="H98" s="153"/>
      <c r="I98" s="153"/>
      <c r="J98" s="22"/>
      <c r="K98" s="153"/>
      <c r="L98" s="16"/>
      <c r="M98" s="16"/>
      <c r="N98" s="16"/>
      <c r="O98" s="16"/>
      <c r="P98" s="16"/>
    </row>
    <row r="99" spans="1:16" ht="24">
      <c r="A99" s="42">
        <f t="shared" si="1"/>
        <v>85</v>
      </c>
      <c r="B99" s="147"/>
      <c r="C99" s="92" t="s">
        <v>424</v>
      </c>
      <c r="D99" s="148" t="s">
        <v>24</v>
      </c>
      <c r="E99" s="149">
        <v>3</v>
      </c>
      <c r="F99" s="16"/>
      <c r="G99" s="16"/>
      <c r="H99" s="153"/>
      <c r="I99" s="153"/>
      <c r="J99" s="22"/>
      <c r="K99" s="153"/>
      <c r="L99" s="16"/>
      <c r="M99" s="16"/>
      <c r="N99" s="16"/>
      <c r="O99" s="16"/>
      <c r="P99" s="16"/>
    </row>
    <row r="100" spans="1:16" ht="24">
      <c r="A100" s="42">
        <f t="shared" si="1"/>
        <v>86</v>
      </c>
      <c r="B100" s="147"/>
      <c r="C100" s="92" t="s">
        <v>425</v>
      </c>
      <c r="D100" s="148" t="s">
        <v>27</v>
      </c>
      <c r="E100" s="149">
        <v>10</v>
      </c>
      <c r="F100" s="16"/>
      <c r="G100" s="16"/>
      <c r="H100" s="153"/>
      <c r="I100" s="153"/>
      <c r="J100" s="22"/>
      <c r="K100" s="153"/>
      <c r="L100" s="16"/>
      <c r="M100" s="16"/>
      <c r="N100" s="16"/>
      <c r="O100" s="16"/>
      <c r="P100" s="16"/>
    </row>
    <row r="101" spans="1:16" ht="24">
      <c r="A101" s="42">
        <f t="shared" si="1"/>
        <v>87</v>
      </c>
      <c r="B101" s="147"/>
      <c r="C101" s="92" t="s">
        <v>426</v>
      </c>
      <c r="D101" s="148" t="s">
        <v>27</v>
      </c>
      <c r="E101" s="149">
        <v>2</v>
      </c>
      <c r="F101" s="16"/>
      <c r="G101" s="16"/>
      <c r="H101" s="153"/>
      <c r="I101" s="153"/>
      <c r="J101" s="22"/>
      <c r="K101" s="153"/>
      <c r="L101" s="16"/>
      <c r="M101" s="16"/>
      <c r="N101" s="16"/>
      <c r="O101" s="16"/>
      <c r="P101" s="16"/>
    </row>
    <row r="102" spans="1:16" ht="24">
      <c r="A102" s="42">
        <f t="shared" si="1"/>
        <v>88</v>
      </c>
      <c r="B102" s="147"/>
      <c r="C102" s="92" t="s">
        <v>427</v>
      </c>
      <c r="D102" s="148" t="s">
        <v>27</v>
      </c>
      <c r="E102" s="149">
        <v>3</v>
      </c>
      <c r="F102" s="16"/>
      <c r="G102" s="16"/>
      <c r="H102" s="153"/>
      <c r="I102" s="153"/>
      <c r="J102" s="22"/>
      <c r="K102" s="153"/>
      <c r="L102" s="16"/>
      <c r="M102" s="16"/>
      <c r="N102" s="16"/>
      <c r="O102" s="16"/>
      <c r="P102" s="16"/>
    </row>
    <row r="103" spans="1:16" ht="24">
      <c r="A103" s="42">
        <f t="shared" si="1"/>
        <v>89</v>
      </c>
      <c r="B103" s="147"/>
      <c r="C103" s="92" t="s">
        <v>428</v>
      </c>
      <c r="D103" s="148" t="s">
        <v>24</v>
      </c>
      <c r="E103" s="149">
        <v>1</v>
      </c>
      <c r="F103" s="16"/>
      <c r="G103" s="16"/>
      <c r="H103" s="153"/>
      <c r="I103" s="153"/>
      <c r="J103" s="22"/>
      <c r="K103" s="153"/>
      <c r="L103" s="16"/>
      <c r="M103" s="16"/>
      <c r="N103" s="16"/>
      <c r="O103" s="16"/>
      <c r="P103" s="16"/>
    </row>
    <row r="104" spans="1:16">
      <c r="A104" s="42">
        <f t="shared" si="1"/>
        <v>90</v>
      </c>
      <c r="B104" s="147"/>
      <c r="C104" s="92" t="s">
        <v>429</v>
      </c>
      <c r="D104" s="148" t="s">
        <v>24</v>
      </c>
      <c r="E104" s="149">
        <v>1</v>
      </c>
      <c r="F104" s="16"/>
      <c r="G104" s="16"/>
      <c r="H104" s="153"/>
      <c r="I104" s="153"/>
      <c r="J104" s="22"/>
      <c r="K104" s="153"/>
      <c r="L104" s="16"/>
      <c r="M104" s="16"/>
      <c r="N104" s="16"/>
      <c r="O104" s="16"/>
      <c r="P104" s="16"/>
    </row>
    <row r="105" spans="1:16">
      <c r="A105" s="42">
        <f t="shared" si="1"/>
        <v>91</v>
      </c>
      <c r="B105" s="147"/>
      <c r="C105" s="92" t="s">
        <v>430</v>
      </c>
      <c r="D105" s="148" t="s">
        <v>214</v>
      </c>
      <c r="E105" s="149">
        <v>5</v>
      </c>
      <c r="F105" s="16"/>
      <c r="G105" s="16"/>
      <c r="H105" s="153"/>
      <c r="I105" s="153"/>
      <c r="J105" s="22"/>
      <c r="K105" s="153"/>
      <c r="L105" s="16"/>
      <c r="M105" s="16"/>
      <c r="N105" s="16"/>
      <c r="O105" s="16"/>
      <c r="P105" s="16"/>
    </row>
    <row r="106" spans="1:16">
      <c r="A106" s="42">
        <f t="shared" si="1"/>
        <v>92</v>
      </c>
      <c r="B106" s="147"/>
      <c r="C106" s="92" t="s">
        <v>431</v>
      </c>
      <c r="D106" s="148" t="s">
        <v>214</v>
      </c>
      <c r="E106" s="149">
        <v>2</v>
      </c>
      <c r="F106" s="16"/>
      <c r="G106" s="16"/>
      <c r="H106" s="153"/>
      <c r="I106" s="153"/>
      <c r="J106" s="22"/>
      <c r="K106" s="153"/>
      <c r="L106" s="16"/>
      <c r="M106" s="16"/>
      <c r="N106" s="16"/>
      <c r="O106" s="16"/>
      <c r="P106" s="16"/>
    </row>
    <row r="107" spans="1:16">
      <c r="A107" s="42">
        <f t="shared" si="1"/>
        <v>93</v>
      </c>
      <c r="B107" s="147"/>
      <c r="C107" s="92" t="s">
        <v>421</v>
      </c>
      <c r="D107" s="148" t="s">
        <v>214</v>
      </c>
      <c r="E107" s="149">
        <v>2</v>
      </c>
      <c r="F107" s="16"/>
      <c r="G107" s="16"/>
      <c r="H107" s="153"/>
      <c r="I107" s="153"/>
      <c r="J107" s="22"/>
      <c r="K107" s="153"/>
      <c r="L107" s="16"/>
      <c r="M107" s="16"/>
      <c r="N107" s="16"/>
      <c r="O107" s="16"/>
      <c r="P107" s="16"/>
    </row>
    <row r="108" spans="1:16">
      <c r="A108" s="42">
        <f t="shared" si="1"/>
        <v>94</v>
      </c>
      <c r="B108" s="147"/>
      <c r="C108" s="92" t="s">
        <v>38</v>
      </c>
      <c r="D108" s="148" t="s">
        <v>24</v>
      </c>
      <c r="E108" s="149">
        <v>1</v>
      </c>
      <c r="F108" s="16"/>
      <c r="G108" s="16"/>
      <c r="H108" s="153"/>
      <c r="I108" s="153"/>
      <c r="J108" s="153"/>
      <c r="K108" s="153"/>
      <c r="L108" s="16"/>
      <c r="M108" s="16"/>
      <c r="N108" s="16"/>
      <c r="O108" s="16"/>
      <c r="P108" s="16"/>
    </row>
    <row r="109" spans="1:16">
      <c r="A109" s="42">
        <f t="shared" si="1"/>
        <v>95</v>
      </c>
      <c r="B109" s="17"/>
      <c r="C109" s="71" t="s">
        <v>345</v>
      </c>
      <c r="D109" s="76" t="s">
        <v>24</v>
      </c>
      <c r="E109" s="16">
        <v>1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>
      <c r="A110" s="42"/>
      <c r="B110" s="17"/>
      <c r="C110" s="71"/>
      <c r="D110" s="7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>
      <c r="A111" s="162" t="s">
        <v>2</v>
      </c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9">
        <f>SUM(L15:L110)</f>
        <v>0</v>
      </c>
      <c r="M111" s="19">
        <f>SUM(M15:M110)</f>
        <v>0</v>
      </c>
      <c r="N111" s="19">
        <f>SUM(N15:N110)</f>
        <v>0</v>
      </c>
      <c r="O111" s="19">
        <f>SUM(O15:O110)</f>
        <v>0</v>
      </c>
      <c r="P111" s="19">
        <f>SUM(P15:P110)</f>
        <v>0</v>
      </c>
    </row>
    <row r="112" spans="1:16">
      <c r="A112" s="162" t="s">
        <v>85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20"/>
      <c r="M112" s="20"/>
      <c r="N112" s="20"/>
      <c r="O112" s="20"/>
      <c r="P112" s="19">
        <f>0.1*N111</f>
        <v>0</v>
      </c>
    </row>
    <row r="113" spans="1:16">
      <c r="A113" s="162" t="s">
        <v>2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9">
        <f>SUM(L111:L112)</f>
        <v>0</v>
      </c>
      <c r="M113" s="19">
        <f>SUM(M111:M112)</f>
        <v>0</v>
      </c>
      <c r="N113" s="19">
        <f>SUM(N111:N112)</f>
        <v>0</v>
      </c>
      <c r="O113" s="19">
        <f>SUM(O111:O112)</f>
        <v>0</v>
      </c>
      <c r="P113" s="19">
        <f>SUM(P111:P112)</f>
        <v>0</v>
      </c>
    </row>
    <row r="114" spans="1:16" ht="17.100000000000001" customHeight="1">
      <c r="A114" s="11" t="s">
        <v>15</v>
      </c>
    </row>
    <row r="115" spans="1:16">
      <c r="B115" s="12" t="s">
        <v>16</v>
      </c>
    </row>
    <row r="116" spans="1:16" ht="48.75" customHeight="1"/>
    <row r="117" spans="1:16">
      <c r="A117" s="13"/>
      <c r="B117" s="38"/>
      <c r="C117" s="39"/>
      <c r="H117" s="13"/>
    </row>
    <row r="118" spans="1:16">
      <c r="A118" s="40"/>
      <c r="B118" s="41"/>
      <c r="C118" s="14"/>
      <c r="F118" s="14"/>
    </row>
  </sheetData>
  <mergeCells count="14">
    <mergeCell ref="L13:P13"/>
    <mergeCell ref="A111:K111"/>
    <mergeCell ref="A112:K112"/>
    <mergeCell ref="A113:K113"/>
    <mergeCell ref="A2:P2"/>
    <mergeCell ref="A3:P3"/>
    <mergeCell ref="L9:N9"/>
    <mergeCell ref="O9:P9"/>
    <mergeCell ref="A13:A14"/>
    <mergeCell ref="B13:B14"/>
    <mergeCell ref="C13:C14"/>
    <mergeCell ref="D13:D14"/>
    <mergeCell ref="E13:E14"/>
    <mergeCell ref="F13:K13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97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Company>HCData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Ligita</cp:lastModifiedBy>
  <cp:lastPrinted>2017-08-24T11:12:54Z</cp:lastPrinted>
  <dcterms:created xsi:type="dcterms:W3CDTF">2004-03-25T12:48:46Z</dcterms:created>
  <dcterms:modified xsi:type="dcterms:W3CDTF">2017-08-29T10:02:30Z</dcterms:modified>
</cp:coreProperties>
</file>